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tabRatio="612" activeTab="2"/>
  </bookViews>
  <sheets>
    <sheet name="LISTE" sheetId="1" r:id="rId1"/>
    <sheet name="MATCHES" sheetId="2" r:id="rId2"/>
    <sheet name="FEUILLE POULE" sheetId="3" r:id="rId3"/>
    <sheet name="ENVOIS" sheetId="4" state="hidden" r:id="rId4"/>
    <sheet name="Joueurs" sheetId="5" r:id="rId5"/>
    <sheet name="engagement" sheetId="6" r:id="rId6"/>
    <sheet name="toutes" sheetId="7" r:id="rId7"/>
  </sheets>
  <externalReferences>
    <externalReference r:id="rId10"/>
  </externalReferences>
  <definedNames>
    <definedName name="bill">'LISTE'!$C$4</definedName>
    <definedName name="cin">'Joueurs'!$D$112:$K$116</definedName>
    <definedName name="clasfin">'FEUILLE POULE'!$W$27:$AE$31</definedName>
    <definedName name="class">'FEUILLE POULE'!$W$26:$AD$31</definedName>
    <definedName name="CLUB1">'LISTE'!$D$13</definedName>
    <definedName name="CLUB2">'LISTE'!$D$14:$D$14</definedName>
    <definedName name="CLUB3">'LISTE'!$D$15:$D$15</definedName>
    <definedName name="CLUB4">'LISTE'!$D$16:$D$16</definedName>
    <definedName name="CLUB5">'LISTE'!$D$17</definedName>
    <definedName name="dat">'LISTE'!$C$9</definedName>
    <definedName name="design1">'LISTE'!$C$3</definedName>
    <definedName name="design2">'LISTE'!$C$7</definedName>
    <definedName name="deu">'Joueurs'!$D$37:$K$41</definedName>
    <definedName name="dirjeu">'LISTE'!$C$10</definedName>
    <definedName name="DISTANCE">'LISTE'!$C$5:$C$5</definedName>
    <definedName name="engagement">'engagement'!$A$1:$W$63</definedName>
    <definedName name="envA">'ENVOIS'!$F$10</definedName>
    <definedName name="envoyer">'ENVOIS'!$B$3:$F$8</definedName>
    <definedName name="impunefeuilmle">'toutes'!$B$1:$K$65</definedName>
    <definedName name="init">'LISTE'!$B$13:$G$17</definedName>
    <definedName name="init1">'LISTE'!$A$13:$F$17</definedName>
    <definedName name="jou1">'Joueurs'!$B$1:$K$21</definedName>
    <definedName name="jou1A">'Joueurs'!$M$13:$Q$16</definedName>
    <definedName name="jou1B">'Joueurs'!$S$13:$T$16</definedName>
    <definedName name="jou2">'Joueurs'!$B$25:$K$45</definedName>
    <definedName name="jou2A">'Joueurs'!$M$37:$Q$40</definedName>
    <definedName name="jou2B">'Joueurs'!$S$37:$T$40</definedName>
    <definedName name="jou3">'Joueurs'!$B$50:$K$70</definedName>
    <definedName name="jou3A">'Joueurs'!$M$62:$Q$65</definedName>
    <definedName name="jou3B">'Joueurs'!$S$62:$T$65</definedName>
    <definedName name="jou4">'Joueurs'!$B$74:$K$94</definedName>
    <definedName name="jou4A">'Joueurs'!$M$86:$Q$89</definedName>
    <definedName name="jou4B">'Joueurs'!$S$86:$T$89</definedName>
    <definedName name="jou5">'Joueurs'!$B$100:$K$120</definedName>
    <definedName name="jou5A">'Joueurs'!$M$112:$Q$115</definedName>
    <definedName name="jou5B">'Joueurs'!$S$112:$T$115</definedName>
    <definedName name="LIC1">'LISTE'!$I$13:$I$13</definedName>
    <definedName name="LIC2">'LISTE'!$I$14:$I$14</definedName>
    <definedName name="LIC3">'LISTE'!$I$15:$I$15</definedName>
    <definedName name="LIC4">'LISTE'!$I$16:$I$16</definedName>
    <definedName name="LIC5">'LISTE'!$I$17</definedName>
    <definedName name="lieue">'LISTE'!$C$2</definedName>
    <definedName name="Matches">'MATCHES'!$A$5:$U$39</definedName>
    <definedName name="modjeu">'LISTE'!$C$6</definedName>
    <definedName name="NOM1">'LISTE'!$B$13</definedName>
    <definedName name="NOM2">'LISTE'!$B$14</definedName>
    <definedName name="NOM3">'LISTE'!$B$15</definedName>
    <definedName name="NOM4">'LISTE'!$B$16</definedName>
    <definedName name="NOM5">'LISTE'!$B$17</definedName>
    <definedName name="ordre1">'Joueurs'!$D$13:$L$16</definedName>
    <definedName name="ordre2">'Joueurs'!$D$37:$L$40</definedName>
    <definedName name="ordre3">'Joueurs'!$D$62:$L$65</definedName>
    <definedName name="ordre4">'Joueurs'!$D$86:$L$89</definedName>
    <definedName name="ordre5">'Joueurs'!$D$112:$L$115</definedName>
    <definedName name="pos">'[1]LISTE'!$I$14:$J$17</definedName>
    <definedName name="posdép">'[1]LISTE'!$H$14:$N$17</definedName>
    <definedName name="poul">'LISTE'!$C$8</definedName>
    <definedName name="Poule">'FEUILLE POULE'!$A$3:$U$31</definedName>
    <definedName name="qua">'Joueurs'!$D$86:$K$90</definedName>
    <definedName name="ram">'MATCHES'!$A$32:$J$32</definedName>
    <definedName name="Resultat">#REF!</definedName>
    <definedName name="term">'[1]FEUILLE POULE'!$V$22:$W$25</definedName>
    <definedName name="TOTO">'FEUILLE POULE'!#REF!</definedName>
    <definedName name="tours">'[1]MATCHES'!$O$8:$AH$13</definedName>
    <definedName name="transfert">'ENVOIS'!$J$19</definedName>
    <definedName name="tri">'MATCHES'!$AH$8:$AP$28</definedName>
    <definedName name="TRI1">'MATCHES'!$AH$9:$AP$28</definedName>
    <definedName name="trifin">'MATCHES'!$AG$9:$AP$28</definedName>
    <definedName name="trifin1">'MATCHES'!$AG$9:$AO$28</definedName>
    <definedName name="tro">'Joueurs'!$D$62:$K$66</definedName>
    <definedName name="un">'Joueurs'!$D$13:$K$17</definedName>
    <definedName name="_xlnm.Print_Area" localSheetId="5">'engagement'!$A$1:$W$63</definedName>
    <definedName name="_xlnm.Print_Area" localSheetId="2">'FEUILLE POULE'!$A$3:$U$31</definedName>
    <definedName name="_xlnm.Print_Area" localSheetId="4">'Joueurs'!$B$100:$K$120</definedName>
    <definedName name="_xlnm.Print_Area" localSheetId="1">'MATCHES'!$A$5:$U$39</definedName>
    <definedName name="_xlnm.Print_Area" localSheetId="6">'toutes'!$B$1:$K$65</definedName>
  </definedNames>
  <calcPr fullCalcOnLoad="1"/>
</workbook>
</file>

<file path=xl/sharedStrings.xml><?xml version="1.0" encoding="utf-8"?>
<sst xmlns="http://schemas.openxmlformats.org/spreadsheetml/2006/main" count="540" uniqueCount="177">
  <si>
    <t>EPREUVE:</t>
  </si>
  <si>
    <t>POULE:</t>
  </si>
  <si>
    <t>Directeur de jeu:</t>
  </si>
  <si>
    <t>NOM</t>
  </si>
  <si>
    <t>Prénom</t>
  </si>
  <si>
    <t>Club</t>
  </si>
  <si>
    <t>N° licence</t>
  </si>
  <si>
    <t>moyenne</t>
  </si>
  <si>
    <t>points</t>
  </si>
  <si>
    <t>série</t>
  </si>
  <si>
    <t>Point-class</t>
  </si>
  <si>
    <t>REPRISES</t>
  </si>
  <si>
    <t>reprises</t>
  </si>
  <si>
    <t>moy</t>
  </si>
  <si>
    <t>moy part</t>
  </si>
  <si>
    <t>Nom</t>
  </si>
  <si>
    <t>Licence</t>
  </si>
  <si>
    <t>Mode de jeu:</t>
  </si>
  <si>
    <t>Catégorie:</t>
  </si>
  <si>
    <t>Billards:</t>
  </si>
  <si>
    <t>Distance:</t>
  </si>
  <si>
    <t>N°</t>
  </si>
  <si>
    <t>Total</t>
  </si>
  <si>
    <t xml:space="preserve">    moyenne</t>
  </si>
  <si>
    <t>meilleure</t>
  </si>
  <si>
    <t>POINTS</t>
  </si>
  <si>
    <t xml:space="preserve">   particulière</t>
  </si>
  <si>
    <t>CLASS</t>
  </si>
  <si>
    <t>1er</t>
  </si>
  <si>
    <t>2ème</t>
  </si>
  <si>
    <t>3ème</t>
  </si>
  <si>
    <t>4ème</t>
  </si>
  <si>
    <t>exempt</t>
  </si>
  <si>
    <t>5ème</t>
  </si>
  <si>
    <t>match</t>
  </si>
  <si>
    <t>nom</t>
  </si>
  <si>
    <t>rep</t>
  </si>
  <si>
    <t>p.class</t>
  </si>
  <si>
    <t>adversaires</t>
  </si>
  <si>
    <t>FEUILLE INDIVIDUELLE DE RESULTATS</t>
  </si>
  <si>
    <t>SUR</t>
  </si>
  <si>
    <t>EN</t>
  </si>
  <si>
    <t>JOUEUR N°:</t>
  </si>
  <si>
    <t>Licence N°</t>
  </si>
  <si>
    <t>M.N°</t>
  </si>
  <si>
    <t>Adversaires</t>
  </si>
  <si>
    <t>p.class.</t>
  </si>
  <si>
    <t>totaux</t>
  </si>
  <si>
    <t>CLASSEMENT FINAL:</t>
  </si>
  <si>
    <t>glissante</t>
  </si>
  <si>
    <t>génerale</t>
  </si>
  <si>
    <t>IMPRIMER LES FICHES INDIVIDUELLES DE RESULTATS</t>
  </si>
  <si>
    <t>place</t>
  </si>
  <si>
    <t>compétition</t>
  </si>
  <si>
    <t>joueur</t>
  </si>
  <si>
    <t>club</t>
  </si>
  <si>
    <t>test</t>
  </si>
  <si>
    <t>fichier</t>
  </si>
  <si>
    <t>transfert</t>
  </si>
  <si>
    <t>cel.-test</t>
  </si>
  <si>
    <t>Chemin des fiches individuelles à ouvrir</t>
  </si>
  <si>
    <t>x</t>
  </si>
  <si>
    <t>-GONG-</t>
  </si>
  <si>
    <t>TOUR N° :</t>
  </si>
  <si>
    <t>générale</t>
  </si>
  <si>
    <t>particulière</t>
  </si>
  <si>
    <t>ENTRER LES NOMS DES JOUEURS et LES CARACTERISTIQUES DU CHAMPIONNAT DANS LES CASES BLEUTEES</t>
  </si>
  <si>
    <t>il faut les changer de ligne (de N°)</t>
  </si>
  <si>
    <t>Si il y en a 3 ou plus : ne rien changer.</t>
  </si>
  <si>
    <t>et les passer N° 3&amp;4 ou N° 2&amp;5 pour</t>
  </si>
  <si>
    <t>Possibilité d'intervertir les 4ème et 5ème tour</t>
  </si>
  <si>
    <t>les faire jouer au premier tour.</t>
  </si>
  <si>
    <t>FEUILLES  INDIVIDUELLES  DE  RESULTATS</t>
  </si>
  <si>
    <t>Afin de préserver une finale au dernier tour</t>
  </si>
  <si>
    <t>match 3/4</t>
  </si>
  <si>
    <t>1er TOUR:</t>
  </si>
  <si>
    <t>billard n°A</t>
  </si>
  <si>
    <t>match 1/2</t>
  </si>
  <si>
    <t>5ème TOUR:</t>
  </si>
  <si>
    <t xml:space="preserve"> match 2/4</t>
  </si>
  <si>
    <t>4ème TOUR:</t>
  </si>
  <si>
    <t>match 3/5</t>
  </si>
  <si>
    <t>3ème TOUR:</t>
  </si>
  <si>
    <t xml:space="preserve"> match 1/5</t>
  </si>
  <si>
    <t>2ème TOUR:</t>
  </si>
  <si>
    <t>match 2/5</t>
  </si>
  <si>
    <t xml:space="preserve"> billard n°B</t>
  </si>
  <si>
    <t xml:space="preserve">1er TOUR:                   </t>
  </si>
  <si>
    <t xml:space="preserve">match 4/5 </t>
  </si>
  <si>
    <t>match 1/3</t>
  </si>
  <si>
    <t>match 1/4</t>
  </si>
  <si>
    <t>match 2/3</t>
  </si>
  <si>
    <t>observations:</t>
  </si>
  <si>
    <t>C.E.B</t>
  </si>
  <si>
    <t>C.N.O.S.F</t>
  </si>
  <si>
    <t>U.M.B</t>
  </si>
  <si>
    <t>FEDERATION  FRANCAISE  DE  BILLARD</t>
  </si>
  <si>
    <t>-   LIGUE  MIDI - PYRENEES   -</t>
  </si>
  <si>
    <t>N° Licence :</t>
  </si>
  <si>
    <t>Moyenne Générale :</t>
  </si>
  <si>
    <t>CHAMPIONNATS INDIVIDUELS</t>
  </si>
  <si>
    <t>Feuille de transmission des résultats techniques</t>
  </si>
  <si>
    <t>SECTEUR   SUD - OUEST</t>
  </si>
  <si>
    <t>Mode  de  jeu</t>
  </si>
  <si>
    <t>Catégorie</t>
  </si>
  <si>
    <t>Lieu  de  l'épreuve</t>
  </si>
  <si>
    <t>Date</t>
  </si>
  <si>
    <t>Class.</t>
  </si>
  <si>
    <t>NOM - PRENOM</t>
  </si>
  <si>
    <t>N° LICENCE</t>
  </si>
  <si>
    <t>Points</t>
  </si>
  <si>
    <t>de</t>
  </si>
  <si>
    <t>Reprises</t>
  </si>
  <si>
    <t>M.G</t>
  </si>
  <si>
    <t>M.P</t>
  </si>
  <si>
    <t>Série</t>
  </si>
  <si>
    <t>class.</t>
  </si>
  <si>
    <t>Nom et prénom du responsable de l'épreuve :</t>
  </si>
  <si>
    <t>Signature du responsable</t>
  </si>
  <si>
    <t>Toulouse le 19 Mai 2002</t>
  </si>
  <si>
    <t>NOMBRE DE DECIMALES:</t>
  </si>
  <si>
    <t>CLUB.……………</t>
  </si>
  <si>
    <t>CATEGORIE……</t>
  </si>
  <si>
    <t>BILLARD………..</t>
  </si>
  <si>
    <t>DISTANCE………</t>
  </si>
  <si>
    <t>MODE DE JEU…</t>
  </si>
  <si>
    <t>EPREUVE………</t>
  </si>
  <si>
    <t>POULE…………..</t>
  </si>
  <si>
    <t>DATE……………</t>
  </si>
  <si>
    <t>Directeur de jeu…</t>
  </si>
  <si>
    <t xml:space="preserve">-  LIGUE  MIDI PYRENEES  - </t>
  </si>
  <si>
    <t>FEUILLE  D'ENGAGEMENT  A  LA  FINALE  DE</t>
  </si>
  <si>
    <t>District</t>
  </si>
  <si>
    <t>Ligue</t>
  </si>
  <si>
    <t>Secteur</t>
  </si>
  <si>
    <t>France</t>
  </si>
  <si>
    <t>Qui aura lieu:</t>
  </si>
  <si>
    <t>Club Organisateur</t>
  </si>
  <si>
    <t>Mode de jeu</t>
  </si>
  <si>
    <t>Distance</t>
  </si>
  <si>
    <t xml:space="preserve">VAINQUEUR de la FINALE de </t>
  </si>
  <si>
    <t>S/District</t>
  </si>
  <si>
    <t>NOM  -  Prénom</t>
  </si>
  <si>
    <t>Adresse</t>
  </si>
  <si>
    <t>Tél:</t>
  </si>
  <si>
    <t>Code Postal  -  Ville</t>
  </si>
  <si>
    <t>Club :</t>
  </si>
  <si>
    <t>REMPLACANT EVENTUEL</t>
  </si>
  <si>
    <t>Signatures</t>
  </si>
  <si>
    <t>Vainqueur</t>
  </si>
  <si>
    <t>Remplaçant</t>
  </si>
  <si>
    <t>Fait à :</t>
  </si>
  <si>
    <t>Le:</t>
  </si>
  <si>
    <t>Nom et signature du directeur de jeu</t>
  </si>
  <si>
    <t>SECRETARIAT SPORTIF :                    LIGUE  MIDI - PYRENEES</t>
  </si>
  <si>
    <t>Observation:</t>
  </si>
  <si>
    <t>Secrétaire sportif de la Ligue Midi-Pyrénées</t>
  </si>
  <si>
    <t>a envoyer à :</t>
  </si>
  <si>
    <t>1/2 Ligue</t>
  </si>
  <si>
    <t>District ou</t>
  </si>
  <si>
    <t>Numéro*</t>
  </si>
  <si>
    <t>*Si il y a 2 joueurs d'un même club</t>
  </si>
  <si>
    <t>2m80</t>
  </si>
  <si>
    <t>3 BANDES</t>
  </si>
  <si>
    <t>A</t>
  </si>
  <si>
    <t>Les 17 et 18 novembre 2007</t>
  </si>
  <si>
    <t>RANKING</t>
  </si>
  <si>
    <t>Place</t>
  </si>
  <si>
    <t>Class</t>
  </si>
  <si>
    <t>Vérifiés par :</t>
  </si>
  <si>
    <t>SOCRATE</t>
  </si>
  <si>
    <t>KANT</t>
  </si>
  <si>
    <t>NIETZCHE</t>
  </si>
  <si>
    <t>DEBORD</t>
  </si>
  <si>
    <t>TORTAJADA</t>
  </si>
  <si>
    <t>Billard Club Ruthénois</t>
  </si>
  <si>
    <t>REGIONALE 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</si>
</sst>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.000"/>
    <numFmt numFmtId="174" formatCode="\(General\);\(\-General\)"/>
    <numFmt numFmtId="175" formatCode="\(0.000\);\(\-0.000\)"/>
    <numFmt numFmtId="176" formatCode="0.0000"/>
    <numFmt numFmtId="177" formatCode="0.0"/>
    <numFmt numFmtId="178" formatCode="0.0000000"/>
    <numFmt numFmtId="179" formatCode="0.000000"/>
    <numFmt numFmtId="180" formatCode="0.00000"/>
    <numFmt numFmtId="181" formatCode="\(0.00\);\(\-0.00\)"/>
    <numFmt numFmtId="182" formatCode="d\ mmmm\ yyyy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8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u val="single"/>
      <sz val="12"/>
      <name val="Arial"/>
      <family val="0"/>
    </font>
    <font>
      <b/>
      <sz val="14"/>
      <name val="Arial"/>
      <family val="0"/>
    </font>
    <font>
      <sz val="6"/>
      <name val="Arial"/>
      <family val="0"/>
    </font>
    <font>
      <b/>
      <sz val="14"/>
      <color indexed="10"/>
      <name val="Arial"/>
      <family val="0"/>
    </font>
    <font>
      <b/>
      <sz val="18"/>
      <color indexed="14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u val="single"/>
      <sz val="20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30"/>
      <name val="Arial"/>
      <family val="2"/>
    </font>
    <font>
      <b/>
      <u val="single"/>
      <sz val="20"/>
      <name val="Arial"/>
      <family val="2"/>
    </font>
    <font>
      <i/>
      <sz val="20"/>
      <name val="Arial"/>
      <family val="2"/>
    </font>
    <font>
      <b/>
      <sz val="26"/>
      <name val="Arial"/>
      <family val="2"/>
    </font>
    <font>
      <sz val="12"/>
      <color indexed="22"/>
      <name val="Arial"/>
      <family val="2"/>
    </font>
    <font>
      <b/>
      <sz val="10"/>
      <color indexed="49"/>
      <name val="Arial"/>
      <family val="2"/>
    </font>
    <font>
      <sz val="12"/>
      <color indexed="49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b/>
      <i/>
      <sz val="2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20"/>
      <name val="Arial"/>
      <family val="2"/>
    </font>
    <font>
      <b/>
      <sz val="34"/>
      <name val="Arial"/>
      <family val="2"/>
    </font>
    <font>
      <b/>
      <i/>
      <sz val="48"/>
      <color indexed="17"/>
      <name val="Monotype Corsiva"/>
      <family val="4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E13D3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Vertical">
        <bgColor indexed="10"/>
      </patternFill>
    </fill>
    <fill>
      <patternFill patternType="solid">
        <fgColor indexed="11"/>
        <bgColor indexed="64"/>
      </patternFill>
    </fill>
    <fill>
      <patternFill patternType="gray125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9"/>
        <bgColor indexed="21"/>
      </patternFill>
    </fill>
    <fill>
      <patternFill patternType="solid">
        <fgColor indexed="45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55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174" fontId="8" fillId="0" borderId="15" xfId="0" applyNumberFormat="1" applyFont="1" applyBorder="1" applyAlignment="1">
      <alignment horizontal="center" vertical="center"/>
    </xf>
    <xf numFmtId="174" fontId="8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0" fillId="0" borderId="11" xfId="0" applyNumberFormat="1" applyBorder="1" applyAlignment="1">
      <alignment vertical="center"/>
    </xf>
    <xf numFmtId="173" fontId="0" fillId="0" borderId="1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7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174" fontId="0" fillId="33" borderId="0" xfId="0" applyNumberFormat="1" applyFill="1" applyAlignment="1">
      <alignment horizontal="center"/>
    </xf>
    <xf numFmtId="0" fontId="0" fillId="33" borderId="27" xfId="0" applyFill="1" applyBorder="1" applyAlignment="1">
      <alignment horizontal="center"/>
    </xf>
    <xf numFmtId="2" fontId="0" fillId="33" borderId="27" xfId="0" applyNumberFormat="1" applyFill="1" applyBorder="1" applyAlignment="1">
      <alignment/>
    </xf>
    <xf numFmtId="174" fontId="0" fillId="33" borderId="27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174" fontId="0" fillId="33" borderId="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/>
    </xf>
    <xf numFmtId="174" fontId="0" fillId="34" borderId="0" xfId="0" applyNumberForma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174" fontId="0" fillId="34" borderId="0" xfId="0" applyNumberForma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2" fontId="0" fillId="34" borderId="29" xfId="0" applyNumberFormat="1" applyFill="1" applyBorder="1" applyAlignment="1">
      <alignment/>
    </xf>
    <xf numFmtId="174" fontId="0" fillId="34" borderId="29" xfId="0" applyNumberForma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2" fontId="0" fillId="34" borderId="30" xfId="0" applyNumberFormat="1" applyFill="1" applyBorder="1" applyAlignment="1">
      <alignment/>
    </xf>
    <xf numFmtId="174" fontId="0" fillId="34" borderId="30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0" xfId="0" applyFont="1" applyAlignment="1">
      <alignment/>
    </xf>
    <xf numFmtId="0" fontId="5" fillId="0" borderId="34" xfId="0" applyFont="1" applyBorder="1" applyAlignment="1">
      <alignment horizontal="left"/>
    </xf>
    <xf numFmtId="0" fontId="0" fillId="0" borderId="34" xfId="0" applyBorder="1" applyAlignment="1">
      <alignment/>
    </xf>
    <xf numFmtId="0" fontId="5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left"/>
    </xf>
    <xf numFmtId="0" fontId="8" fillId="0" borderId="51" xfId="0" applyNumberFormat="1" applyFont="1" applyBorder="1" applyAlignment="1">
      <alignment/>
    </xf>
    <xf numFmtId="0" fontId="8" fillId="0" borderId="52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0" fillId="35" borderId="53" xfId="0" applyNumberFormat="1" applyFont="1" applyFill="1" applyBorder="1" applyAlignment="1">
      <alignment/>
    </xf>
    <xf numFmtId="0" fontId="4" fillId="35" borderId="54" xfId="0" applyNumberFormat="1" applyFont="1" applyFill="1" applyBorder="1" applyAlignment="1">
      <alignment horizontal="center"/>
    </xf>
    <xf numFmtId="0" fontId="4" fillId="35" borderId="54" xfId="0" applyNumberFormat="1" applyFont="1" applyFill="1" applyBorder="1" applyAlignment="1">
      <alignment horizontal="left"/>
    </xf>
    <xf numFmtId="0" fontId="4" fillId="35" borderId="54" xfId="0" applyNumberFormat="1" applyFont="1" applyFill="1" applyBorder="1" applyAlignment="1">
      <alignment/>
    </xf>
    <xf numFmtId="0" fontId="4" fillId="35" borderId="55" xfId="0" applyNumberFormat="1" applyFont="1" applyFill="1" applyBorder="1" applyAlignment="1">
      <alignment horizontal="center"/>
    </xf>
    <xf numFmtId="0" fontId="0" fillId="35" borderId="56" xfId="0" applyNumberFormat="1" applyFont="1" applyFill="1" applyBorder="1" applyAlignment="1">
      <alignment horizontal="left" vertical="center"/>
    </xf>
    <xf numFmtId="0" fontId="4" fillId="35" borderId="19" xfId="0" applyNumberFormat="1" applyFont="1" applyFill="1" applyBorder="1" applyAlignment="1">
      <alignment horizontal="center" vertical="center"/>
    </xf>
    <xf numFmtId="0" fontId="4" fillId="35" borderId="19" xfId="0" applyNumberFormat="1" applyFont="1" applyFill="1" applyBorder="1" applyAlignment="1">
      <alignment horizontal="left" vertical="center"/>
    </xf>
    <xf numFmtId="0" fontId="4" fillId="35" borderId="57" xfId="0" applyNumberFormat="1" applyFont="1" applyFill="1" applyBorder="1" applyAlignment="1">
      <alignment horizontal="center" vertical="center"/>
    </xf>
    <xf numFmtId="0" fontId="13" fillId="35" borderId="58" xfId="0" applyNumberFormat="1" applyFont="1" applyFill="1" applyBorder="1" applyAlignment="1">
      <alignment horizontal="center" vertical="center"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5" fillId="35" borderId="58" xfId="0" applyNumberFormat="1" applyFont="1" applyFill="1" applyBorder="1" applyAlignment="1">
      <alignment horizontal="center" vertical="center"/>
    </xf>
    <xf numFmtId="0" fontId="0" fillId="35" borderId="22" xfId="0" applyFill="1" applyBorder="1" applyAlignment="1">
      <alignment/>
    </xf>
    <xf numFmtId="0" fontId="0" fillId="35" borderId="62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5" fillId="35" borderId="64" xfId="0" applyNumberFormat="1" applyFont="1" applyFill="1" applyBorder="1" applyAlignment="1">
      <alignment horizontal="center" vertical="center"/>
    </xf>
    <xf numFmtId="0" fontId="0" fillId="35" borderId="65" xfId="0" applyFill="1" applyBorder="1" applyAlignment="1">
      <alignment/>
    </xf>
    <xf numFmtId="0" fontId="0" fillId="35" borderId="66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68" xfId="0" applyNumberFormat="1" applyFill="1" applyBorder="1" applyAlignment="1">
      <alignment vertical="center"/>
    </xf>
    <xf numFmtId="0" fontId="11" fillId="35" borderId="58" xfId="0" applyNumberFormat="1" applyFont="1" applyFill="1" applyBorder="1" applyAlignment="1">
      <alignment horizontal="center" vertical="center"/>
    </xf>
    <xf numFmtId="0" fontId="5" fillId="35" borderId="58" xfId="0" applyNumberFormat="1" applyFont="1" applyFill="1" applyBorder="1" applyAlignment="1">
      <alignment horizontal="center" vertical="center"/>
    </xf>
    <xf numFmtId="0" fontId="5" fillId="35" borderId="64" xfId="0" applyNumberFormat="1" applyFont="1" applyFill="1" applyBorder="1" applyAlignment="1">
      <alignment horizontal="center" vertical="center"/>
    </xf>
    <xf numFmtId="0" fontId="11" fillId="0" borderId="39" xfId="0" applyNumberFormat="1" applyFont="1" applyBorder="1" applyAlignment="1" applyProtection="1">
      <alignment horizontal="center" vertical="center"/>
      <protection locked="0"/>
    </xf>
    <xf numFmtId="0" fontId="0" fillId="34" borderId="6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70" xfId="0" applyFill="1" applyBorder="1" applyAlignment="1">
      <alignment/>
    </xf>
    <xf numFmtId="0" fontId="0" fillId="34" borderId="71" xfId="0" applyFill="1" applyBorder="1" applyAlignment="1">
      <alignment/>
    </xf>
    <xf numFmtId="0" fontId="0" fillId="34" borderId="72" xfId="0" applyFill="1" applyBorder="1" applyAlignment="1">
      <alignment/>
    </xf>
    <xf numFmtId="0" fontId="0" fillId="34" borderId="73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0" fillId="36" borderId="80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5" borderId="39" xfId="0" applyFill="1" applyBorder="1" applyAlignment="1">
      <alignment horizontal="center"/>
    </xf>
    <xf numFmtId="0" fontId="0" fillId="0" borderId="0" xfId="0" applyFill="1" applyAlignment="1">
      <alignment/>
    </xf>
    <xf numFmtId="2" fontId="0" fillId="35" borderId="60" xfId="0" applyNumberFormat="1" applyFill="1" applyBorder="1" applyAlignment="1">
      <alignment horizontal="center"/>
    </xf>
    <xf numFmtId="2" fontId="0" fillId="35" borderId="62" xfId="0" applyNumberFormat="1" applyFill="1" applyBorder="1" applyAlignment="1">
      <alignment horizontal="center"/>
    </xf>
    <xf numFmtId="2" fontId="0" fillId="35" borderId="66" xfId="0" applyNumberFormat="1" applyFill="1" applyBorder="1" applyAlignment="1">
      <alignment horizontal="center"/>
    </xf>
    <xf numFmtId="0" fontId="11" fillId="37" borderId="81" xfId="0" applyFont="1" applyFill="1" applyBorder="1" applyAlignment="1">
      <alignment horizontal="center"/>
    </xf>
    <xf numFmtId="0" fontId="11" fillId="37" borderId="82" xfId="0" applyFont="1" applyFill="1" applyBorder="1" applyAlignment="1">
      <alignment horizontal="center"/>
    </xf>
    <xf numFmtId="0" fontId="0" fillId="37" borderId="83" xfId="0" applyNumberFormat="1" applyFont="1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84" xfId="0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NumberFormat="1" applyFont="1" applyFill="1" applyAlignment="1">
      <alignment/>
    </xf>
    <xf numFmtId="0" fontId="9" fillId="0" borderId="24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24" xfId="0" applyNumberFormat="1" applyFont="1" applyBorder="1" applyAlignment="1">
      <alignment horizontal="left"/>
    </xf>
    <xf numFmtId="0" fontId="0" fillId="33" borderId="28" xfId="0" applyFill="1" applyBorder="1" applyAlignment="1">
      <alignment horizontal="center"/>
    </xf>
    <xf numFmtId="2" fontId="0" fillId="33" borderId="28" xfId="0" applyNumberFormat="1" applyFill="1" applyBorder="1" applyAlignment="1">
      <alignment/>
    </xf>
    <xf numFmtId="0" fontId="21" fillId="39" borderId="0" xfId="0" applyNumberFormat="1" applyFont="1" applyFill="1" applyAlignment="1">
      <alignment/>
    </xf>
    <xf numFmtId="0" fontId="8" fillId="0" borderId="21" xfId="0" applyNumberFormat="1" applyFont="1" applyBorder="1" applyAlignment="1">
      <alignment horizontal="center" vertical="center"/>
    </xf>
    <xf numFmtId="0" fontId="0" fillId="0" borderId="85" xfId="0" applyNumberFormat="1" applyFont="1" applyBorder="1" applyAlignment="1">
      <alignment/>
    </xf>
    <xf numFmtId="0" fontId="0" fillId="0" borderId="86" xfId="0" applyNumberFormat="1" applyFont="1" applyBorder="1" applyAlignment="1">
      <alignment/>
    </xf>
    <xf numFmtId="0" fontId="0" fillId="0" borderId="87" xfId="0" applyNumberFormat="1" applyFont="1" applyBorder="1" applyAlignment="1">
      <alignment/>
    </xf>
    <xf numFmtId="0" fontId="4" fillId="0" borderId="86" xfId="0" applyNumberFormat="1" applyFont="1" applyBorder="1" applyAlignment="1">
      <alignment horizontal="center"/>
    </xf>
    <xf numFmtId="0" fontId="4" fillId="0" borderId="87" xfId="0" applyNumberFormat="1" applyFont="1" applyBorder="1" applyAlignment="1">
      <alignment/>
    </xf>
    <xf numFmtId="0" fontId="0" fillId="0" borderId="88" xfId="0" applyNumberFormat="1" applyFont="1" applyBorder="1" applyAlignment="1">
      <alignment horizontal="left" vertical="center"/>
    </xf>
    <xf numFmtId="0" fontId="4" fillId="0" borderId="89" xfId="0" applyNumberFormat="1" applyFont="1" applyBorder="1" applyAlignment="1">
      <alignment vertical="center"/>
    </xf>
    <xf numFmtId="0" fontId="8" fillId="0" borderId="9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5" borderId="62" xfId="0" applyNumberFormat="1" applyFont="1" applyFill="1" applyBorder="1" applyAlignment="1" applyProtection="1">
      <alignment horizontal="left" vertical="center"/>
      <protection locked="0"/>
    </xf>
    <xf numFmtId="0" fontId="0" fillId="35" borderId="62" xfId="0" applyNumberFormat="1" applyFont="1" applyFill="1" applyBorder="1" applyAlignment="1" applyProtection="1">
      <alignment horizontal="center" vertical="center"/>
      <protection locked="0"/>
    </xf>
    <xf numFmtId="0" fontId="0" fillId="35" borderId="66" xfId="0" applyNumberFormat="1" applyFont="1" applyFill="1" applyBorder="1" applyAlignment="1" applyProtection="1">
      <alignment horizontal="left" vertical="center"/>
      <protection locked="0"/>
    </xf>
    <xf numFmtId="0" fontId="0" fillId="35" borderId="66" xfId="0" applyNumberFormat="1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/>
    </xf>
    <xf numFmtId="0" fontId="23" fillId="0" borderId="0" xfId="0" applyFont="1" applyAlignment="1">
      <alignment/>
    </xf>
    <xf numFmtId="0" fontId="24" fillId="0" borderId="20" xfId="0" applyNumberFormat="1" applyFont="1" applyBorder="1" applyAlignment="1">
      <alignment horizontal="center" vertical="top"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19" fillId="0" borderId="91" xfId="0" applyNumberFormat="1" applyFont="1" applyBorder="1" applyAlignment="1" applyProtection="1">
      <alignment horizontal="center" vertic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92" xfId="0" applyNumberFormat="1" applyFont="1" applyBorder="1" applyAlignment="1" applyProtection="1">
      <alignment horizontal="center" vertical="center"/>
      <protection locked="0"/>
    </xf>
    <xf numFmtId="0" fontId="12" fillId="40" borderId="93" xfId="0" applyNumberFormat="1" applyFont="1" applyFill="1" applyBorder="1" applyAlignment="1">
      <alignment horizontal="center"/>
    </xf>
    <xf numFmtId="0" fontId="11" fillId="0" borderId="94" xfId="0" applyNumberFormat="1" applyFont="1" applyBorder="1" applyAlignment="1">
      <alignment horizontal="center"/>
    </xf>
    <xf numFmtId="0" fontId="8" fillId="0" borderId="95" xfId="0" applyNumberFormat="1" applyFont="1" applyBorder="1" applyAlignment="1">
      <alignment horizontal="center"/>
    </xf>
    <xf numFmtId="0" fontId="0" fillId="0" borderId="96" xfId="0" applyNumberFormat="1" applyFont="1" applyBorder="1" applyAlignment="1">
      <alignment vertical="center"/>
    </xf>
    <xf numFmtId="0" fontId="8" fillId="0" borderId="97" xfId="0" applyNumberFormat="1" applyFont="1" applyBorder="1" applyAlignment="1">
      <alignment horizontal="center"/>
    </xf>
    <xf numFmtId="0" fontId="8" fillId="0" borderId="71" xfId="0" applyNumberFormat="1" applyFont="1" applyBorder="1" applyAlignment="1">
      <alignment/>
    </xf>
    <xf numFmtId="0" fontId="8" fillId="0" borderId="98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5" fillId="0" borderId="0" xfId="0" applyNumberFormat="1" applyFont="1" applyBorder="1" applyAlignment="1">
      <alignment horizontal="right"/>
    </xf>
    <xf numFmtId="0" fontId="0" fillId="0" borderId="69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/>
    </xf>
    <xf numFmtId="0" fontId="0" fillId="0" borderId="7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0" fillId="0" borderId="87" xfId="0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1" fillId="0" borderId="82" xfId="0" applyFont="1" applyBorder="1" applyAlignment="1">
      <alignment/>
    </xf>
    <xf numFmtId="0" fontId="31" fillId="0" borderId="81" xfId="0" applyFont="1" applyBorder="1" applyAlignment="1">
      <alignment/>
    </xf>
    <xf numFmtId="0" fontId="31" fillId="0" borderId="83" xfId="0" applyFont="1" applyBorder="1" applyAlignment="1">
      <alignment/>
    </xf>
    <xf numFmtId="0" fontId="27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9" fillId="41" borderId="99" xfId="0" applyNumberFormat="1" applyFont="1" applyFill="1" applyBorder="1" applyAlignment="1" applyProtection="1">
      <alignment horizontal="center"/>
      <protection locked="0"/>
    </xf>
    <xf numFmtId="0" fontId="9" fillId="34" borderId="39" xfId="0" applyNumberFormat="1" applyFont="1" applyFill="1" applyBorder="1" applyAlignment="1" applyProtection="1">
      <alignment horizontal="center"/>
      <protection/>
    </xf>
    <xf numFmtId="0" fontId="9" fillId="34" borderId="99" xfId="0" applyNumberFormat="1" applyFont="1" applyFill="1" applyBorder="1" applyAlignment="1">
      <alignment horizontal="center"/>
    </xf>
    <xf numFmtId="0" fontId="9" fillId="34" borderId="99" xfId="0" applyNumberFormat="1" applyFont="1" applyFill="1" applyBorder="1" applyAlignment="1" applyProtection="1">
      <alignment horizontal="center"/>
      <protection/>
    </xf>
    <xf numFmtId="0" fontId="0" fillId="42" borderId="0" xfId="0" applyFill="1" applyAlignment="1">
      <alignment/>
    </xf>
    <xf numFmtId="0" fontId="37" fillId="43" borderId="0" xfId="0" applyNumberFormat="1" applyFont="1" applyFill="1" applyAlignment="1">
      <alignment vertical="center"/>
    </xf>
    <xf numFmtId="0" fontId="38" fillId="43" borderId="0" xfId="0" applyNumberFormat="1" applyFont="1" applyFill="1" applyAlignment="1">
      <alignment vertical="center"/>
    </xf>
    <xf numFmtId="0" fontId="38" fillId="43" borderId="0" xfId="0" applyFont="1" applyFill="1" applyAlignment="1">
      <alignment vertical="center"/>
    </xf>
    <xf numFmtId="0" fontId="0" fillId="42" borderId="0" xfId="0" applyNumberFormat="1" applyFont="1" applyFill="1" applyAlignment="1">
      <alignment vertical="center"/>
    </xf>
    <xf numFmtId="0" fontId="0" fillId="42" borderId="0" xfId="0" applyNumberFormat="1" applyFill="1" applyAlignment="1">
      <alignment horizontal="left" vertical="center"/>
    </xf>
    <xf numFmtId="0" fontId="0" fillId="42" borderId="0" xfId="0" applyFill="1" applyAlignment="1">
      <alignment vertical="center"/>
    </xf>
    <xf numFmtId="3" fontId="0" fillId="35" borderId="39" xfId="0" applyNumberFormat="1" applyFont="1" applyFill="1" applyBorder="1" applyAlignment="1" applyProtection="1">
      <alignment horizontal="center" vertical="center"/>
      <protection locked="0"/>
    </xf>
    <xf numFmtId="3" fontId="0" fillId="42" borderId="78" xfId="0" applyNumberFormat="1" applyFont="1" applyFill="1" applyBorder="1" applyAlignment="1" applyProtection="1">
      <alignment horizontal="left" vertical="center"/>
      <protection locked="0"/>
    </xf>
    <xf numFmtId="172" fontId="0" fillId="42" borderId="0" xfId="0" applyNumberFormat="1" applyFont="1" applyFill="1" applyAlignment="1" applyProtection="1">
      <alignment horizontal="center" vertical="center"/>
      <protection locked="0"/>
    </xf>
    <xf numFmtId="0" fontId="5" fillId="0" borderId="59" xfId="0" applyNumberFormat="1" applyFont="1" applyBorder="1" applyAlignment="1">
      <alignment vertical="center"/>
    </xf>
    <xf numFmtId="0" fontId="6" fillId="36" borderId="60" xfId="0" applyNumberFormat="1" applyFont="1" applyFill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0" fillId="42" borderId="0" xfId="0" applyNumberFormat="1" applyFont="1" applyFill="1" applyBorder="1" applyAlignment="1">
      <alignment vertical="center"/>
    </xf>
    <xf numFmtId="0" fontId="0" fillId="35" borderId="0" xfId="0" applyFill="1" applyAlignment="1" applyProtection="1">
      <alignment vertical="center"/>
      <protection locked="0"/>
    </xf>
    <xf numFmtId="0" fontId="36" fillId="42" borderId="0" xfId="0" applyNumberFormat="1" applyFont="1" applyFill="1" applyBorder="1" applyAlignment="1">
      <alignment vertical="center"/>
    </xf>
    <xf numFmtId="0" fontId="0" fillId="0" borderId="65" xfId="0" applyNumberFormat="1" applyFont="1" applyBorder="1" applyAlignment="1">
      <alignment horizontal="center" vertical="center"/>
    </xf>
    <xf numFmtId="0" fontId="36" fillId="42" borderId="0" xfId="0" applyNumberFormat="1" applyFont="1" applyFill="1" applyAlignment="1">
      <alignment vertical="center"/>
    </xf>
    <xf numFmtId="0" fontId="23" fillId="42" borderId="0" xfId="0" applyFont="1" applyFill="1" applyAlignment="1">
      <alignment vertical="center"/>
    </xf>
    <xf numFmtId="173" fontId="7" fillId="0" borderId="19" xfId="0" applyNumberFormat="1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100" xfId="0" applyNumberFormat="1" applyFont="1" applyBorder="1" applyAlignment="1" applyProtection="1">
      <alignment/>
      <protection locked="0"/>
    </xf>
    <xf numFmtId="0" fontId="0" fillId="0" borderId="87" xfId="0" applyNumberFormat="1" applyFont="1" applyBorder="1" applyAlignment="1" applyProtection="1">
      <alignment/>
      <protection locked="0"/>
    </xf>
    <xf numFmtId="173" fontId="0" fillId="0" borderId="81" xfId="0" applyNumberFormat="1" applyFont="1" applyBorder="1" applyAlignment="1" applyProtection="1">
      <alignment/>
      <protection locked="0"/>
    </xf>
    <xf numFmtId="0" fontId="0" fillId="0" borderId="101" xfId="0" applyNumberFormat="1" applyFont="1" applyBorder="1" applyAlignment="1" applyProtection="1">
      <alignment/>
      <protection locked="0"/>
    </xf>
    <xf numFmtId="0" fontId="0" fillId="0" borderId="71" xfId="0" applyNumberFormat="1" applyFont="1" applyBorder="1" applyAlignment="1" applyProtection="1">
      <alignment/>
      <protection locked="0"/>
    </xf>
    <xf numFmtId="0" fontId="0" fillId="0" borderId="102" xfId="0" applyNumberFormat="1" applyFont="1" applyBorder="1" applyAlignment="1" applyProtection="1">
      <alignment/>
      <protection locked="0"/>
    </xf>
    <xf numFmtId="0" fontId="0" fillId="0" borderId="82" xfId="0" applyNumberFormat="1" applyFont="1" applyBorder="1" applyAlignment="1" applyProtection="1">
      <alignment/>
      <protection locked="0"/>
    </xf>
    <xf numFmtId="0" fontId="0" fillId="0" borderId="103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30" xfId="0" applyBorder="1" applyAlignment="1">
      <alignment/>
    </xf>
    <xf numFmtId="0" fontId="0" fillId="0" borderId="3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75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5" fillId="0" borderId="10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81" xfId="0" applyBorder="1" applyAlignment="1">
      <alignment/>
    </xf>
    <xf numFmtId="0" fontId="43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30" xfId="0" applyBorder="1" applyAlignment="1">
      <alignment/>
    </xf>
    <xf numFmtId="0" fontId="31" fillId="0" borderId="39" xfId="0" applyFont="1" applyBorder="1" applyAlignment="1">
      <alignment vertical="center"/>
    </xf>
    <xf numFmtId="0" fontId="0" fillId="0" borderId="104" xfId="0" applyBorder="1" applyAlignment="1">
      <alignment/>
    </xf>
    <xf numFmtId="0" fontId="35" fillId="0" borderId="78" xfId="0" applyFont="1" applyBorder="1" applyAlignment="1">
      <alignment horizontal="center" vertical="center"/>
    </xf>
    <xf numFmtId="0" fontId="19" fillId="0" borderId="75" xfId="0" applyFont="1" applyBorder="1" applyAlignment="1">
      <alignment/>
    </xf>
    <xf numFmtId="0" fontId="27" fillId="0" borderId="104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31" fillId="0" borderId="75" xfId="0" applyFont="1" applyBorder="1" applyAlignment="1">
      <alignment vertical="center"/>
    </xf>
    <xf numFmtId="0" fontId="0" fillId="0" borderId="75" xfId="0" applyBorder="1" applyAlignment="1">
      <alignment/>
    </xf>
    <xf numFmtId="0" fontId="9" fillId="0" borderId="75" xfId="0" applyFont="1" applyBorder="1" applyAlignment="1">
      <alignment vertical="center"/>
    </xf>
    <xf numFmtId="0" fontId="35" fillId="0" borderId="10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1" fillId="0" borderId="104" xfId="0" applyFont="1" applyBorder="1" applyAlignment="1">
      <alignment vertical="center"/>
    </xf>
    <xf numFmtId="0" fontId="0" fillId="0" borderId="100" xfId="0" applyBorder="1" applyAlignment="1">
      <alignment/>
    </xf>
    <xf numFmtId="0" fontId="0" fillId="0" borderId="102" xfId="0" applyBorder="1" applyAlignment="1">
      <alignment/>
    </xf>
    <xf numFmtId="0" fontId="11" fillId="0" borderId="81" xfId="0" applyFont="1" applyBorder="1" applyAlignment="1">
      <alignment horizontal="center" vertical="center"/>
    </xf>
    <xf numFmtId="0" fontId="0" fillId="0" borderId="107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82" xfId="0" applyBorder="1" applyAlignment="1">
      <alignment/>
    </xf>
    <xf numFmtId="0" fontId="27" fillId="0" borderId="108" xfId="0" applyFont="1" applyBorder="1" applyAlignment="1">
      <alignment horizontal="center" vertical="center"/>
    </xf>
    <xf numFmtId="0" fontId="18" fillId="0" borderId="109" xfId="0" applyFont="1" applyBorder="1" applyAlignment="1">
      <alignment horizontal="left" vertical="center" indent="1"/>
    </xf>
    <xf numFmtId="0" fontId="18" fillId="0" borderId="110" xfId="0" applyFont="1" applyBorder="1" applyAlignment="1">
      <alignment vertical="center"/>
    </xf>
    <xf numFmtId="0" fontId="19" fillId="0" borderId="110" xfId="0" applyFont="1" applyBorder="1" applyAlignment="1">
      <alignment vertical="center"/>
    </xf>
    <xf numFmtId="0" fontId="18" fillId="0" borderId="110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44" fillId="0" borderId="105" xfId="0" applyFont="1" applyBorder="1" applyAlignment="1">
      <alignment/>
    </xf>
    <xf numFmtId="0" fontId="0" fillId="0" borderId="29" xfId="0" applyBorder="1" applyAlignment="1">
      <alignment/>
    </xf>
    <xf numFmtId="0" fontId="31" fillId="0" borderId="106" xfId="0" applyFont="1" applyBorder="1" applyAlignment="1">
      <alignment/>
    </xf>
    <xf numFmtId="0" fontId="31" fillId="0" borderId="84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29" xfId="0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5" fillId="0" borderId="82" xfId="0" applyFont="1" applyBorder="1" applyAlignment="1">
      <alignment horizontal="right" vertical="center"/>
    </xf>
    <xf numFmtId="173" fontId="8" fillId="0" borderId="15" xfId="0" applyNumberFormat="1" applyFont="1" applyBorder="1" applyAlignment="1">
      <alignment horizontal="center" vertical="center"/>
    </xf>
    <xf numFmtId="173" fontId="8" fillId="0" borderId="114" xfId="0" applyNumberFormat="1" applyFont="1" applyBorder="1" applyAlignment="1">
      <alignment horizontal="center"/>
    </xf>
    <xf numFmtId="173" fontId="8" fillId="0" borderId="115" xfId="0" applyNumberFormat="1" applyFont="1" applyBorder="1" applyAlignment="1">
      <alignment horizontal="center"/>
    </xf>
    <xf numFmtId="173" fontId="0" fillId="0" borderId="49" xfId="0" applyNumberFormat="1" applyBorder="1" applyAlignment="1">
      <alignment horizontal="center"/>
    </xf>
    <xf numFmtId="173" fontId="0" fillId="0" borderId="36" xfId="0" applyNumberFormat="1" applyBorder="1" applyAlignment="1">
      <alignment horizontal="center"/>
    </xf>
    <xf numFmtId="173" fontId="0" fillId="0" borderId="39" xfId="0" applyNumberFormat="1" applyBorder="1" applyAlignment="1">
      <alignment horizontal="center"/>
    </xf>
    <xf numFmtId="173" fontId="0" fillId="0" borderId="41" xfId="0" applyNumberFormat="1" applyBorder="1" applyAlignment="1">
      <alignment horizontal="center"/>
    </xf>
    <xf numFmtId="173" fontId="0" fillId="0" borderId="45" xfId="0" applyNumberFormat="1" applyBorder="1" applyAlignment="1">
      <alignment horizontal="center"/>
    </xf>
    <xf numFmtId="0" fontId="0" fillId="35" borderId="0" xfId="0" applyNumberFormat="1" applyFont="1" applyFill="1" applyAlignment="1" applyProtection="1">
      <alignment horizontal="left" vertical="center"/>
      <protection locked="0"/>
    </xf>
    <xf numFmtId="0" fontId="0" fillId="35" borderId="116" xfId="0" applyNumberFormat="1" applyFont="1" applyFill="1" applyBorder="1" applyAlignment="1" applyProtection="1">
      <alignment horizontal="center" vertical="center"/>
      <protection locked="0"/>
    </xf>
    <xf numFmtId="0" fontId="0" fillId="35" borderId="62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117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39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0" fillId="0" borderId="118" xfId="0" applyNumberFormat="1" applyFont="1" applyBorder="1" applyAlignment="1">
      <alignment vertical="center"/>
    </xf>
    <xf numFmtId="0" fontId="5" fillId="0" borderId="119" xfId="0" applyNumberFormat="1" applyFont="1" applyBorder="1" applyAlignment="1">
      <alignment horizontal="left" vertical="center"/>
    </xf>
    <xf numFmtId="0" fontId="0" fillId="0" borderId="90" xfId="0" applyNumberFormat="1" applyFont="1" applyBorder="1" applyAlignment="1">
      <alignment vertical="center"/>
    </xf>
    <xf numFmtId="0" fontId="0" fillId="0" borderId="89" xfId="0" applyNumberFormat="1" applyFont="1" applyBorder="1" applyAlignment="1">
      <alignment vertical="center"/>
    </xf>
    <xf numFmtId="0" fontId="39" fillId="0" borderId="90" xfId="0" applyNumberFormat="1" applyFont="1" applyBorder="1" applyAlignment="1">
      <alignment horizontal="center" vertical="center"/>
    </xf>
    <xf numFmtId="0" fontId="0" fillId="0" borderId="90" xfId="0" applyNumberFormat="1" applyFont="1" applyBorder="1" applyAlignment="1">
      <alignment vertical="center"/>
    </xf>
    <xf numFmtId="0" fontId="0" fillId="0" borderId="120" xfId="0" applyNumberFormat="1" applyFont="1" applyBorder="1" applyAlignment="1">
      <alignment vertical="center"/>
    </xf>
    <xf numFmtId="0" fontId="0" fillId="35" borderId="62" xfId="0" applyFill="1" applyBorder="1" applyAlignment="1" applyProtection="1">
      <alignment vertical="center"/>
      <protection locked="0"/>
    </xf>
    <xf numFmtId="0" fontId="0" fillId="35" borderId="116" xfId="0" applyNumberFormat="1" applyFont="1" applyFill="1" applyBorder="1" applyAlignment="1" applyProtection="1">
      <alignment vertical="center"/>
      <protection locked="0"/>
    </xf>
    <xf numFmtId="15" fontId="0" fillId="35" borderId="116" xfId="0" applyNumberFormat="1" applyFont="1" applyFill="1" applyBorder="1" applyAlignment="1" applyProtection="1">
      <alignment vertical="center"/>
      <protection locked="0"/>
    </xf>
    <xf numFmtId="0" fontId="5" fillId="0" borderId="60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173" fontId="0" fillId="35" borderId="121" xfId="0" applyNumberFormat="1" applyFont="1" applyFill="1" applyBorder="1" applyAlignment="1" applyProtection="1">
      <alignment horizontal="center" vertical="center"/>
      <protection locked="0"/>
    </xf>
    <xf numFmtId="173" fontId="0" fillId="35" borderId="67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1" fontId="0" fillId="35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93" xfId="0" applyNumberFormat="1" applyFont="1" applyBorder="1" applyAlignment="1">
      <alignment vertical="center"/>
    </xf>
    <xf numFmtId="0" fontId="4" fillId="0" borderId="122" xfId="0" applyNumberFormat="1" applyFont="1" applyBorder="1" applyAlignment="1">
      <alignment vertical="center"/>
    </xf>
    <xf numFmtId="0" fontId="4" fillId="0" borderId="123" xfId="0" applyNumberFormat="1" applyFont="1" applyBorder="1" applyAlignment="1">
      <alignment vertical="center"/>
    </xf>
    <xf numFmtId="0" fontId="11" fillId="0" borderId="124" xfId="0" applyNumberFormat="1" applyFont="1" applyBorder="1" applyAlignment="1">
      <alignment horizontal="left" vertical="center" indent="1"/>
    </xf>
    <xf numFmtId="0" fontId="5" fillId="0" borderId="124" xfId="0" applyNumberFormat="1" applyFont="1" applyBorder="1" applyAlignment="1">
      <alignment horizontal="left" vertical="center" indent="1"/>
    </xf>
    <xf numFmtId="0" fontId="5" fillId="0" borderId="125" xfId="0" applyNumberFormat="1" applyFont="1" applyBorder="1" applyAlignment="1">
      <alignment horizontal="left" vertical="center" indent="1"/>
    </xf>
    <xf numFmtId="0" fontId="4" fillId="0" borderId="126" xfId="0" applyNumberFormat="1" applyFont="1" applyBorder="1" applyAlignment="1">
      <alignment horizontal="left" vertical="center" indent="2"/>
    </xf>
    <xf numFmtId="0" fontId="9" fillId="0" borderId="78" xfId="0" applyFont="1" applyBorder="1" applyAlignment="1">
      <alignment horizontal="right" vertical="center"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35" borderId="75" xfId="0" applyNumberFormat="1" applyFont="1" applyFill="1" applyBorder="1" applyAlignment="1" applyProtection="1">
      <alignment horizontal="left" vertical="center"/>
      <protection locked="0"/>
    </xf>
    <xf numFmtId="0" fontId="0" fillId="35" borderId="78" xfId="0" applyNumberFormat="1" applyFont="1" applyFill="1" applyBorder="1" applyAlignment="1" applyProtection="1">
      <alignment horizontal="left" vertical="center"/>
      <protection locked="0"/>
    </xf>
    <xf numFmtId="172" fontId="0" fillId="35" borderId="75" xfId="0" applyNumberFormat="1" applyFont="1" applyFill="1" applyBorder="1" applyAlignment="1" applyProtection="1">
      <alignment horizontal="left" vertical="center"/>
      <protection locked="0"/>
    </xf>
    <xf numFmtId="172" fontId="0" fillId="35" borderId="78" xfId="0" applyNumberFormat="1" applyFont="1" applyFill="1" applyBorder="1" applyAlignment="1" applyProtection="1">
      <alignment horizontal="left" vertical="center"/>
      <protection locked="0"/>
    </xf>
    <xf numFmtId="172" fontId="0" fillId="35" borderId="75" xfId="0" applyNumberFormat="1" applyFont="1" applyFill="1" applyBorder="1" applyAlignment="1" applyProtection="1">
      <alignment horizontal="center" vertical="center"/>
      <protection locked="0"/>
    </xf>
    <xf numFmtId="172" fontId="0" fillId="35" borderId="78" xfId="0" applyNumberFormat="1" applyFont="1" applyFill="1" applyBorder="1" applyAlignment="1" applyProtection="1">
      <alignment horizontal="center" vertical="center"/>
      <protection locked="0"/>
    </xf>
    <xf numFmtId="0" fontId="0" fillId="35" borderId="75" xfId="0" applyNumberFormat="1" applyFill="1" applyBorder="1" applyAlignment="1" applyProtection="1">
      <alignment horizontal="left" vertical="center"/>
      <protection locked="0"/>
    </xf>
    <xf numFmtId="0" fontId="0" fillId="35" borderId="104" xfId="0" applyNumberFormat="1" applyFont="1" applyFill="1" applyBorder="1" applyAlignment="1" applyProtection="1">
      <alignment horizontal="left" vertical="center"/>
      <protection locked="0"/>
    </xf>
    <xf numFmtId="0" fontId="0" fillId="35" borderId="78" xfId="0" applyNumberFormat="1" applyFont="1" applyFill="1" applyBorder="1" applyAlignment="1" applyProtection="1">
      <alignment horizontal="left" vertical="center"/>
      <protection locked="0"/>
    </xf>
    <xf numFmtId="0" fontId="22" fillId="44" borderId="71" xfId="0" applyNumberFormat="1" applyFont="1" applyFill="1" applyBorder="1" applyAlignment="1">
      <alignment horizontal="left" vertical="center"/>
    </xf>
    <xf numFmtId="0" fontId="22" fillId="44" borderId="127" xfId="0" applyNumberFormat="1" applyFont="1" applyFill="1" applyBorder="1" applyAlignment="1">
      <alignment horizontal="left" vertical="center"/>
    </xf>
    <xf numFmtId="0" fontId="22" fillId="44" borderId="87" xfId="0" applyNumberFormat="1" applyFont="1" applyFill="1" applyBorder="1" applyAlignment="1">
      <alignment horizontal="left" vertical="center"/>
    </xf>
    <xf numFmtId="0" fontId="22" fillId="44" borderId="122" xfId="0" applyNumberFormat="1" applyFont="1" applyFill="1" applyBorder="1" applyAlignment="1">
      <alignment horizontal="left" vertical="center"/>
    </xf>
    <xf numFmtId="0" fontId="22" fillId="44" borderId="0" xfId="0" applyNumberFormat="1" applyFont="1" applyFill="1" applyBorder="1" applyAlignment="1">
      <alignment horizontal="left" vertical="center"/>
    </xf>
    <xf numFmtId="0" fontId="22" fillId="44" borderId="96" xfId="0" applyNumberFormat="1" applyFont="1" applyFill="1" applyBorder="1" applyAlignment="1">
      <alignment horizontal="left" vertical="center"/>
    </xf>
    <xf numFmtId="0" fontId="20" fillId="45" borderId="80" xfId="0" applyNumberFormat="1" applyFont="1" applyFill="1" applyBorder="1" applyAlignment="1" quotePrefix="1">
      <alignment horizontal="center" vertical="center" textRotation="90"/>
    </xf>
    <xf numFmtId="0" fontId="20" fillId="45" borderId="80" xfId="0" applyNumberFormat="1" applyFont="1" applyFill="1" applyBorder="1" applyAlignment="1">
      <alignment horizontal="center" vertical="center" textRotation="90"/>
    </xf>
    <xf numFmtId="0" fontId="20" fillId="45" borderId="128" xfId="0" applyNumberFormat="1" applyFont="1" applyFill="1" applyBorder="1" applyAlignment="1">
      <alignment horizontal="center" vertical="center" textRotation="90"/>
    </xf>
    <xf numFmtId="0" fontId="0" fillId="38" borderId="71" xfId="0" applyNumberFormat="1" applyFont="1" applyFill="1" applyBorder="1" applyAlignment="1">
      <alignment horizontal="center"/>
    </xf>
    <xf numFmtId="0" fontId="18" fillId="37" borderId="81" xfId="0" applyNumberFormat="1" applyFont="1" applyFill="1" applyBorder="1" applyAlignment="1">
      <alignment horizontal="center"/>
    </xf>
    <xf numFmtId="0" fontId="18" fillId="37" borderId="0" xfId="0" applyNumberFormat="1" applyFont="1" applyFill="1" applyBorder="1" applyAlignment="1">
      <alignment horizontal="center"/>
    </xf>
    <xf numFmtId="0" fontId="18" fillId="37" borderId="82" xfId="0" applyNumberFormat="1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173" fontId="9" fillId="0" borderId="129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3" fontId="9" fillId="0" borderId="64" xfId="0" applyNumberFormat="1" applyFont="1" applyBorder="1" applyAlignment="1">
      <alignment horizontal="center"/>
    </xf>
    <xf numFmtId="173" fontId="9" fillId="0" borderId="13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3" fontId="9" fillId="0" borderId="1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/>
    </xf>
    <xf numFmtId="2" fontId="9" fillId="0" borderId="64" xfId="0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82" xfId="0" applyNumberFormat="1" applyFont="1" applyBorder="1" applyAlignment="1">
      <alignment/>
    </xf>
    <xf numFmtId="2" fontId="0" fillId="46" borderId="21" xfId="0" applyNumberFormat="1" applyFont="1" applyFill="1" applyBorder="1" applyAlignment="1">
      <alignment horizontal="center"/>
    </xf>
    <xf numFmtId="2" fontId="0" fillId="46" borderId="20" xfId="0" applyNumberFormat="1" applyFont="1" applyFill="1" applyBorder="1" applyAlignment="1">
      <alignment horizontal="center"/>
    </xf>
    <xf numFmtId="2" fontId="0" fillId="46" borderId="25" xfId="0" applyNumberFormat="1" applyFont="1" applyFill="1" applyBorder="1" applyAlignment="1">
      <alignment horizontal="center"/>
    </xf>
    <xf numFmtId="2" fontId="0" fillId="46" borderId="19" xfId="0" applyNumberFormat="1" applyFont="1" applyFill="1" applyBorder="1" applyAlignment="1">
      <alignment horizontal="center"/>
    </xf>
    <xf numFmtId="2" fontId="0" fillId="46" borderId="0" xfId="0" applyNumberFormat="1" applyFont="1" applyFill="1" applyBorder="1" applyAlignment="1">
      <alignment horizontal="center"/>
    </xf>
    <xf numFmtId="2" fontId="0" fillId="46" borderId="26" xfId="0" applyNumberFormat="1" applyFont="1" applyFill="1" applyBorder="1" applyAlignment="1">
      <alignment horizontal="center"/>
    </xf>
    <xf numFmtId="2" fontId="0" fillId="46" borderId="114" xfId="0" applyNumberFormat="1" applyFont="1" applyFill="1" applyBorder="1" applyAlignment="1">
      <alignment horizontal="center"/>
    </xf>
    <xf numFmtId="2" fontId="0" fillId="46" borderId="51" xfId="0" applyNumberFormat="1" applyFont="1" applyFill="1" applyBorder="1" applyAlignment="1">
      <alignment horizontal="center"/>
    </xf>
    <xf numFmtId="2" fontId="0" fillId="46" borderId="52" xfId="0" applyNumberFormat="1" applyFont="1" applyFill="1" applyBorder="1" applyAlignment="1">
      <alignment horizontal="center"/>
    </xf>
    <xf numFmtId="0" fontId="46" fillId="0" borderId="130" xfId="0" applyNumberFormat="1" applyFont="1" applyBorder="1" applyAlignment="1">
      <alignment horizontal="center" vertical="center"/>
    </xf>
    <xf numFmtId="0" fontId="46" fillId="0" borderId="131" xfId="0" applyNumberFormat="1" applyFont="1" applyBorder="1" applyAlignment="1">
      <alignment horizontal="center" vertical="center"/>
    </xf>
    <xf numFmtId="0" fontId="46" fillId="0" borderId="132" xfId="0" applyNumberFormat="1" applyFont="1" applyBorder="1" applyAlignment="1">
      <alignment horizontal="center" vertical="center"/>
    </xf>
    <xf numFmtId="0" fontId="46" fillId="0" borderId="133" xfId="0" applyNumberFormat="1" applyFont="1" applyBorder="1" applyAlignment="1">
      <alignment horizontal="center" vertical="center"/>
    </xf>
    <xf numFmtId="0" fontId="46" fillId="0" borderId="134" xfId="0" applyNumberFormat="1" applyFont="1" applyBorder="1" applyAlignment="1">
      <alignment horizontal="center" vertical="center"/>
    </xf>
    <xf numFmtId="0" fontId="46" fillId="0" borderId="135" xfId="0" applyNumberFormat="1" applyFont="1" applyBorder="1" applyAlignment="1">
      <alignment horizontal="center" vertical="center"/>
    </xf>
    <xf numFmtId="0" fontId="11" fillId="0" borderId="136" xfId="0" applyNumberFormat="1" applyFont="1" applyBorder="1" applyAlignment="1">
      <alignment horizontal="center"/>
    </xf>
    <xf numFmtId="0" fontId="11" fillId="0" borderId="137" xfId="0" applyNumberFormat="1" applyFont="1" applyBorder="1" applyAlignment="1">
      <alignment horizontal="center"/>
    </xf>
    <xf numFmtId="0" fontId="11" fillId="0" borderId="138" xfId="0" applyNumberFormat="1" applyFont="1" applyBorder="1" applyAlignment="1">
      <alignment horizontal="center"/>
    </xf>
    <xf numFmtId="0" fontId="11" fillId="0" borderId="139" xfId="0" applyNumberFormat="1" applyFont="1" applyBorder="1" applyAlignment="1">
      <alignment horizontal="center"/>
    </xf>
    <xf numFmtId="0" fontId="4" fillId="0" borderId="86" xfId="0" applyNumberFormat="1" applyFont="1" applyBorder="1" applyAlignment="1">
      <alignment horizontal="center"/>
    </xf>
    <xf numFmtId="0" fontId="4" fillId="0" borderId="140" xfId="0" applyNumberFormat="1" applyFont="1" applyBorder="1" applyAlignment="1">
      <alignment horizontal="center"/>
    </xf>
    <xf numFmtId="0" fontId="4" fillId="0" borderId="114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173" fontId="0" fillId="0" borderId="90" xfId="0" applyNumberFormat="1" applyFont="1" applyBorder="1" applyAlignment="1">
      <alignment horizontal="center" vertical="center"/>
    </xf>
    <xf numFmtId="173" fontId="0" fillId="0" borderId="141" xfId="0" applyNumberFormat="1" applyFont="1" applyBorder="1" applyAlignment="1">
      <alignment horizontal="center" vertical="center"/>
    </xf>
    <xf numFmtId="173" fontId="11" fillId="0" borderId="90" xfId="0" applyNumberFormat="1" applyFont="1" applyBorder="1" applyAlignment="1">
      <alignment horizontal="center" vertical="center"/>
    </xf>
    <xf numFmtId="173" fontId="11" fillId="0" borderId="141" xfId="0" applyNumberFormat="1" applyFont="1" applyBorder="1" applyAlignment="1">
      <alignment horizontal="center" vertical="center"/>
    </xf>
    <xf numFmtId="173" fontId="0" fillId="0" borderId="142" xfId="0" applyNumberFormat="1" applyFont="1" applyBorder="1" applyAlignment="1">
      <alignment horizontal="center" vertical="center"/>
    </xf>
    <xf numFmtId="173" fontId="0" fillId="0" borderId="143" xfId="0" applyNumberFormat="1" applyFont="1" applyBorder="1" applyAlignment="1">
      <alignment horizontal="center" vertical="center"/>
    </xf>
    <xf numFmtId="173" fontId="11" fillId="0" borderId="142" xfId="0" applyNumberFormat="1" applyFont="1" applyBorder="1" applyAlignment="1">
      <alignment horizontal="center" vertical="center"/>
    </xf>
    <xf numFmtId="173" fontId="11" fillId="0" borderId="143" xfId="0" applyNumberFormat="1" applyFont="1" applyBorder="1" applyAlignment="1">
      <alignment horizontal="center" vertical="center"/>
    </xf>
    <xf numFmtId="0" fontId="18" fillId="44" borderId="75" xfId="0" applyFont="1" applyFill="1" applyBorder="1" applyAlignment="1">
      <alignment horizontal="center"/>
    </xf>
    <xf numFmtId="0" fontId="18" fillId="44" borderId="104" xfId="0" applyFont="1" applyFill="1" applyBorder="1" applyAlignment="1">
      <alignment horizontal="center"/>
    </xf>
    <xf numFmtId="0" fontId="18" fillId="44" borderId="78" xfId="0" applyFont="1" applyFill="1" applyBorder="1" applyAlignment="1">
      <alignment horizontal="center"/>
    </xf>
    <xf numFmtId="0" fontId="19" fillId="47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2" fontId="27" fillId="0" borderId="75" xfId="0" applyNumberFormat="1" applyFont="1" applyBorder="1" applyAlignment="1">
      <alignment horizontal="center" vertical="center"/>
    </xf>
    <xf numFmtId="2" fontId="27" fillId="0" borderId="104" xfId="0" applyNumberFormat="1" applyFont="1" applyBorder="1" applyAlignment="1">
      <alignment horizontal="center" vertical="center"/>
    </xf>
    <xf numFmtId="2" fontId="27" fillId="0" borderId="7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182" fontId="11" fillId="0" borderId="105" xfId="0" applyNumberFormat="1" applyFont="1" applyBorder="1" applyAlignment="1" applyProtection="1">
      <alignment horizontal="center" vertical="center"/>
      <protection locked="0"/>
    </xf>
    <xf numFmtId="182" fontId="11" fillId="0" borderId="29" xfId="0" applyNumberFormat="1" applyFont="1" applyBorder="1" applyAlignment="1" applyProtection="1">
      <alignment horizontal="center" vertical="center"/>
      <protection locked="0"/>
    </xf>
    <xf numFmtId="182" fontId="11" fillId="0" borderId="106" xfId="0" applyNumberFormat="1" applyFont="1" applyBorder="1" applyAlignment="1" applyProtection="1">
      <alignment horizontal="center" vertical="center"/>
      <protection locked="0"/>
    </xf>
    <xf numFmtId="182" fontId="11" fillId="0" borderId="81" xfId="0" applyNumberFormat="1" applyFont="1" applyBorder="1" applyAlignment="1" applyProtection="1">
      <alignment horizontal="center" vertical="center"/>
      <protection locked="0"/>
    </xf>
    <xf numFmtId="182" fontId="11" fillId="0" borderId="0" xfId="0" applyNumberFormat="1" applyFont="1" applyBorder="1" applyAlignment="1" applyProtection="1">
      <alignment horizontal="center" vertical="center"/>
      <protection locked="0"/>
    </xf>
    <xf numFmtId="182" fontId="11" fillId="0" borderId="82" xfId="0" applyNumberFormat="1" applyFont="1" applyBorder="1" applyAlignment="1" applyProtection="1">
      <alignment horizontal="center" vertical="center"/>
      <protection locked="0"/>
    </xf>
    <xf numFmtId="182" fontId="11" fillId="0" borderId="83" xfId="0" applyNumberFormat="1" applyFont="1" applyBorder="1" applyAlignment="1" applyProtection="1">
      <alignment horizontal="center" vertical="center"/>
      <protection locked="0"/>
    </xf>
    <xf numFmtId="182" fontId="11" fillId="0" borderId="30" xfId="0" applyNumberFormat="1" applyFont="1" applyBorder="1" applyAlignment="1" applyProtection="1">
      <alignment horizontal="center" vertical="center"/>
      <protection locked="0"/>
    </xf>
    <xf numFmtId="182" fontId="11" fillId="0" borderId="84" xfId="0" applyNumberFormat="1" applyFont="1" applyBorder="1" applyAlignment="1" applyProtection="1">
      <alignment horizontal="center" vertical="center"/>
      <protection locked="0"/>
    </xf>
    <xf numFmtId="0" fontId="18" fillId="0" borderId="105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106" xfId="0" applyFont="1" applyBorder="1" applyAlignment="1" applyProtection="1">
      <alignment horizontal="center" vertical="center"/>
      <protection locked="0"/>
    </xf>
    <xf numFmtId="0" fontId="18" fillId="0" borderId="81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82" xfId="0" applyFont="1" applyBorder="1" applyAlignment="1" applyProtection="1">
      <alignment horizontal="center" vertical="center"/>
      <protection locked="0"/>
    </xf>
    <xf numFmtId="0" fontId="18" fillId="0" borderId="83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84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4" fillId="0" borderId="106" xfId="0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104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5" fillId="0" borderId="104" xfId="0" applyFont="1" applyBorder="1" applyAlignment="1" applyProtection="1">
      <alignment horizontal="center" vertical="center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18" fillId="0" borderId="104" xfId="0" applyFont="1" applyBorder="1" applyAlignment="1" applyProtection="1" quotePrefix="1">
      <alignment horizontal="center" vertical="center"/>
      <protection locked="0"/>
    </xf>
    <xf numFmtId="0" fontId="18" fillId="0" borderId="104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173" fontId="9" fillId="0" borderId="75" xfId="0" applyNumberFormat="1" applyFont="1" applyBorder="1" applyAlignment="1" applyProtection="1">
      <alignment horizontal="center" vertical="center"/>
      <protection locked="0"/>
    </xf>
    <xf numFmtId="173" fontId="9" fillId="0" borderId="104" xfId="0" applyNumberFormat="1" applyFont="1" applyBorder="1" applyAlignment="1" applyProtection="1">
      <alignment horizontal="center" vertical="center"/>
      <protection locked="0"/>
    </xf>
    <xf numFmtId="173" fontId="9" fillId="0" borderId="78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18" fillId="0" borderId="75" xfId="0" applyFont="1" applyBorder="1" applyAlignment="1" applyProtection="1" quotePrefix="1">
      <alignment horizontal="center" vertical="center"/>
      <protection locked="0"/>
    </xf>
    <xf numFmtId="0" fontId="5" fillId="0" borderId="30" xfId="0" applyFont="1" applyBorder="1" applyAlignment="1">
      <alignment horizontal="center" vertical="center"/>
    </xf>
    <xf numFmtId="0" fontId="11" fillId="0" borderId="148" xfId="0" applyFont="1" applyBorder="1" applyAlignment="1" applyProtection="1">
      <alignment horizontal="center" vertical="center"/>
      <protection locked="0"/>
    </xf>
    <xf numFmtId="182" fontId="11" fillId="0" borderId="148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122" xfId="0" applyFont="1" applyBorder="1" applyAlignment="1">
      <alignment horizontal="center" vertical="center"/>
    </xf>
    <xf numFmtId="0" fontId="20" fillId="0" borderId="69" xfId="0" applyFont="1" applyBorder="1" applyAlignment="1" quotePrefix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96" xfId="0" applyFont="1" applyBorder="1" applyAlignment="1" quotePrefix="1">
      <alignment horizontal="center" vertical="center"/>
    </xf>
    <xf numFmtId="0" fontId="27" fillId="0" borderId="70" xfId="0" applyFont="1" applyBorder="1" applyAlignment="1" quotePrefix="1">
      <alignment horizontal="center" vertical="center"/>
    </xf>
    <xf numFmtId="0" fontId="27" fillId="0" borderId="71" xfId="0" applyFont="1" applyBorder="1" applyAlignment="1" quotePrefix="1">
      <alignment horizontal="center" vertical="center"/>
    </xf>
    <xf numFmtId="0" fontId="27" fillId="0" borderId="127" xfId="0" applyFont="1" applyBorder="1" applyAlignment="1" quotePrefix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textRotation="90"/>
    </xf>
    <xf numFmtId="0" fontId="8" fillId="0" borderId="149" xfId="0" applyFont="1" applyBorder="1" applyAlignment="1">
      <alignment horizontal="center" textRotation="90"/>
    </xf>
    <xf numFmtId="0" fontId="27" fillId="0" borderId="100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173" fontId="18" fillId="0" borderId="109" xfId="0" applyNumberFormat="1" applyFont="1" applyBorder="1" applyAlignment="1">
      <alignment horizontal="center" vertical="center"/>
    </xf>
    <xf numFmtId="173" fontId="18" fillId="0" borderId="110" xfId="0" applyNumberFormat="1" applyFont="1" applyBorder="1" applyAlignment="1">
      <alignment horizontal="center" vertical="center"/>
    </xf>
    <xf numFmtId="173" fontId="18" fillId="0" borderId="111" xfId="0" applyNumberFormat="1" applyFont="1" applyBorder="1" applyAlignment="1">
      <alignment horizontal="center" vertical="center"/>
    </xf>
    <xf numFmtId="1" fontId="18" fillId="0" borderId="109" xfId="0" applyNumberFormat="1" applyFont="1" applyBorder="1" applyAlignment="1">
      <alignment horizontal="center" vertical="center"/>
    </xf>
    <xf numFmtId="1" fontId="18" fillId="0" borderId="150" xfId="0" applyNumberFormat="1" applyFont="1" applyBorder="1" applyAlignment="1">
      <alignment horizontal="center" vertical="center"/>
    </xf>
    <xf numFmtId="0" fontId="85" fillId="0" borderId="0" xfId="0" applyFont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dxfs count="12">
    <dxf>
      <font>
        <color indexed="9"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2"/>
        </patternFill>
      </fill>
    </dxf>
    <dxf>
      <fill>
        <patternFill>
          <bgColor indexed="15"/>
        </patternFill>
      </fill>
    </dxf>
    <dxf>
      <font>
        <color rgb="FFFFFFFF"/>
      </font>
      <fill>
        <patternFill patternType="solid">
          <bgColor rgb="FF0000FF"/>
        </patternFill>
      </fill>
      <border/>
    </dxf>
    <dxf>
      <font>
        <color rgb="FFFFFFFF"/>
      </font>
      <fill>
        <patternFill patternType="solid">
          <bgColor rgb="FFFF0000"/>
        </patternFill>
      </fill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png" /><Relationship Id="rId4" Type="http://schemas.openxmlformats.org/officeDocument/2006/relationships/hyperlink" Target="http://www.liguemidipyreneesdebillard.org/index.php?lng=fr" TargetMode="External" /><Relationship Id="rId5" Type="http://schemas.openxmlformats.org/officeDocument/2006/relationships/hyperlink" Target="http://www.liguemidipyreneesdebillard.org/index.php?lng=fr" TargetMode="External" /><Relationship Id="rId6" Type="http://schemas.openxmlformats.org/officeDocument/2006/relationships/image" Target="../media/image2.jpeg" /><Relationship Id="rId7" Type="http://schemas.openxmlformats.org/officeDocument/2006/relationships/hyperlink" Target="http://www.ffbillard.com/" TargetMode="External" /><Relationship Id="rId8" Type="http://schemas.openxmlformats.org/officeDocument/2006/relationships/hyperlink" Target="http://www.ffbillard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17</xdr:row>
      <xdr:rowOff>152400</xdr:rowOff>
    </xdr:from>
    <xdr:ext cx="647700" cy="276225"/>
    <xdr:sp macro="[0]!deuxdecimales">
      <xdr:nvSpPr>
        <xdr:cNvPr id="1" name="Rectangle 14"/>
        <xdr:cNvSpPr>
          <a:spLocks/>
        </xdr:cNvSpPr>
      </xdr:nvSpPr>
      <xdr:spPr>
        <a:xfrm>
          <a:off x="3228975" y="3838575"/>
          <a:ext cx="647700" cy="2762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 fPrintsWithSheet="0"/>
  </xdr:oneCellAnchor>
  <xdr:oneCellAnchor>
    <xdr:from>
      <xdr:col>4</xdr:col>
      <xdr:colOff>342900</xdr:colOff>
      <xdr:row>17</xdr:row>
      <xdr:rowOff>152400</xdr:rowOff>
    </xdr:from>
    <xdr:ext cx="647700" cy="276225"/>
    <xdr:sp macro="[0]!troisdecimales">
      <xdr:nvSpPr>
        <xdr:cNvPr id="2" name="Rectangle 16"/>
        <xdr:cNvSpPr>
          <a:spLocks/>
        </xdr:cNvSpPr>
      </xdr:nvSpPr>
      <xdr:spPr>
        <a:xfrm>
          <a:off x="4371975" y="3838575"/>
          <a:ext cx="647700" cy="2762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361950</xdr:rowOff>
    </xdr:from>
    <xdr:to>
      <xdr:col>6</xdr:col>
      <xdr:colOff>409575</xdr:colOff>
      <xdr:row>3</xdr:row>
      <xdr:rowOff>876300</xdr:rowOff>
    </xdr:to>
    <xdr:sp>
      <xdr:nvSpPr>
        <xdr:cNvPr id="1" name="Rectangle 15"/>
        <xdr:cNvSpPr>
          <a:spLocks/>
        </xdr:cNvSpPr>
      </xdr:nvSpPr>
      <xdr:spPr>
        <a:xfrm>
          <a:off x="666750" y="1343025"/>
          <a:ext cx="3400425" cy="514350"/>
        </a:xfrm>
        <a:prstGeom prst="rect">
          <a:avLst/>
        </a:prstGeom>
        <a:solidFill>
          <a:srgbClr val="00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entrer les résultats dans les cases bleutées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476250</xdr:colOff>
      <xdr:row>2</xdr:row>
      <xdr:rowOff>76200</xdr:rowOff>
    </xdr:from>
    <xdr:to>
      <xdr:col>25</xdr:col>
      <xdr:colOff>676275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01800" y="276225"/>
          <a:ext cx="1085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2</xdr:col>
      <xdr:colOff>0</xdr:colOff>
      <xdr:row>6</xdr:row>
      <xdr:rowOff>0</xdr:rowOff>
    </xdr:to>
    <xdr:pic>
      <xdr:nvPicPr>
        <xdr:cNvPr id="2" name="Picture 5" descr="C:\Documents and Settings\All Users\Documents\essais logos billard\blason-Rodez9 bi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7625"/>
          <a:ext cx="1419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0</xdr:row>
      <xdr:rowOff>47625</xdr:rowOff>
    </xdr:from>
    <xdr:to>
      <xdr:col>19</xdr:col>
      <xdr:colOff>495300</xdr:colOff>
      <xdr:row>4</xdr:row>
      <xdr:rowOff>247650</xdr:rowOff>
    </xdr:to>
    <xdr:pic>
      <xdr:nvPicPr>
        <xdr:cNvPr id="3" name="Picture 6" descr="La Ligue Midi-Pyrénées de Billard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53600" y="47625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</xdr:row>
      <xdr:rowOff>266700</xdr:rowOff>
    </xdr:from>
    <xdr:to>
      <xdr:col>4</xdr:col>
      <xdr:colOff>647700</xdr:colOff>
      <xdr:row>8</xdr:row>
      <xdr:rowOff>257175</xdr:rowOff>
    </xdr:to>
    <xdr:pic>
      <xdr:nvPicPr>
        <xdr:cNvPr id="4" name="Picture 7" descr="Fédération Française de Billard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90675" y="1590675"/>
          <a:ext cx="1590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323850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14375" cy="809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69</xdr:row>
      <xdr:rowOff>0</xdr:rowOff>
    </xdr:from>
    <xdr:to>
      <xdr:col>2</xdr:col>
      <xdr:colOff>238125</xdr:colOff>
      <xdr:row>71</xdr:row>
      <xdr:rowOff>257175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506950"/>
          <a:ext cx="971550" cy="10858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95250</xdr:colOff>
      <xdr:row>54</xdr:row>
      <xdr:rowOff>219075</xdr:rowOff>
    </xdr:from>
    <xdr:to>
      <xdr:col>9</xdr:col>
      <xdr:colOff>57150</xdr:colOff>
      <xdr:row>61</xdr:row>
      <xdr:rowOff>47625</xdr:rowOff>
    </xdr:to>
    <xdr:pic>
      <xdr:nvPicPr>
        <xdr:cNvPr id="3" name="Picture 14" descr="secretariat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820525"/>
          <a:ext cx="3467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oule4_3B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MATCHES"/>
      <sheetName val="JOUEURS"/>
      <sheetName val="FEUILLE POULE"/>
      <sheetName val="E"/>
    </sheetNames>
    <sheetDataSet>
      <sheetData sheetId="0">
        <row r="14">
          <cell r="H14">
            <v>2</v>
          </cell>
          <cell r="I14" t="str">
            <v>CONO</v>
          </cell>
          <cell r="J14">
            <v>2</v>
          </cell>
          <cell r="K14" t="str">
            <v>Albert</v>
          </cell>
          <cell r="L14" t="str">
            <v>CLUB</v>
          </cell>
          <cell r="M14" t="str">
            <v>022562X2</v>
          </cell>
          <cell r="N14" t="str">
            <v>facultatif</v>
          </cell>
        </row>
        <row r="15">
          <cell r="H15">
            <v>3</v>
          </cell>
          <cell r="I15" t="str">
            <v>DUGLAND</v>
          </cell>
          <cell r="J15">
            <v>3</v>
          </cell>
          <cell r="K15" t="str">
            <v>Biloud</v>
          </cell>
          <cell r="L15" t="str">
            <v>CLUB</v>
          </cell>
          <cell r="M15" t="str">
            <v>022562X4</v>
          </cell>
          <cell r="N15" t="str">
            <v>facultatif</v>
          </cell>
        </row>
        <row r="16">
          <cell r="H16">
            <v>4</v>
          </cell>
          <cell r="I16" t="str">
            <v>DUSCHMOL</v>
          </cell>
          <cell r="J16">
            <v>4</v>
          </cell>
          <cell r="K16" t="str">
            <v>Toto</v>
          </cell>
          <cell r="L16" t="str">
            <v>CLUB1</v>
          </cell>
          <cell r="M16" t="str">
            <v>022562X3</v>
          </cell>
          <cell r="N16" t="str">
            <v>facultatif</v>
          </cell>
        </row>
      </sheetData>
      <sheetData sheetId="1">
        <row r="8">
          <cell r="O8">
            <v>1</v>
          </cell>
          <cell r="P8" t="str">
            <v>TROUDUC</v>
          </cell>
          <cell r="Q8">
            <v>1</v>
          </cell>
          <cell r="R8">
            <v>50</v>
          </cell>
          <cell r="S8">
            <v>10</v>
          </cell>
          <cell r="T8" t="str">
            <v>P1</v>
          </cell>
          <cell r="U8">
            <v>10</v>
          </cell>
          <cell r="V8">
            <v>0</v>
          </cell>
          <cell r="W8">
            <v>3</v>
          </cell>
          <cell r="X8">
            <v>1</v>
          </cell>
          <cell r="Y8" t="str">
            <v>DUSCHMOL</v>
          </cell>
          <cell r="Z8">
            <v>4</v>
          </cell>
          <cell r="AA8">
            <v>60</v>
          </cell>
          <cell r="AB8">
            <v>10</v>
          </cell>
          <cell r="AC8" t="str">
            <v>V1</v>
          </cell>
          <cell r="AD8">
            <v>6</v>
          </cell>
          <cell r="AE8">
            <v>10</v>
          </cell>
          <cell r="AF8">
            <v>2</v>
          </cell>
          <cell r="AG8" t="str">
            <v>TROUDUC</v>
          </cell>
          <cell r="AH8">
            <v>4</v>
          </cell>
        </row>
        <row r="9">
          <cell r="O9">
            <v>2</v>
          </cell>
          <cell r="P9" t="str">
            <v>CONO</v>
          </cell>
          <cell r="Q9">
            <v>2</v>
          </cell>
          <cell r="R9">
            <v>60</v>
          </cell>
          <cell r="S9">
            <v>12</v>
          </cell>
          <cell r="T9" t="str">
            <v>V2</v>
          </cell>
          <cell r="U9">
            <v>21</v>
          </cell>
          <cell r="V9">
            <v>1</v>
          </cell>
          <cell r="W9">
            <v>3</v>
          </cell>
          <cell r="X9">
            <v>2</v>
          </cell>
          <cell r="Y9" t="str">
            <v>DUGLAND</v>
          </cell>
          <cell r="Z9">
            <v>3</v>
          </cell>
          <cell r="AA9">
            <v>60</v>
          </cell>
          <cell r="AB9">
            <v>12</v>
          </cell>
          <cell r="AC9" t="str">
            <v>P2</v>
          </cell>
          <cell r="AD9">
            <v>5</v>
          </cell>
          <cell r="AE9">
            <v>15</v>
          </cell>
          <cell r="AF9">
            <v>1</v>
          </cell>
          <cell r="AG9" t="str">
            <v>CONO</v>
          </cell>
          <cell r="AH9">
            <v>4</v>
          </cell>
        </row>
        <row r="10">
          <cell r="O10">
            <v>3</v>
          </cell>
          <cell r="P10" t="str">
            <v>CONO</v>
          </cell>
          <cell r="Q10">
            <v>2</v>
          </cell>
          <cell r="R10">
            <v>60</v>
          </cell>
          <cell r="S10">
            <v>9</v>
          </cell>
          <cell r="T10" t="str">
            <v>V3</v>
          </cell>
          <cell r="U10">
            <v>10</v>
          </cell>
          <cell r="V10">
            <v>2</v>
          </cell>
          <cell r="W10">
            <v>6</v>
          </cell>
          <cell r="X10">
            <v>3</v>
          </cell>
          <cell r="Y10" t="str">
            <v>TROUDUC</v>
          </cell>
          <cell r="Z10">
            <v>1</v>
          </cell>
          <cell r="AA10">
            <v>50</v>
          </cell>
          <cell r="AB10">
            <v>9</v>
          </cell>
          <cell r="AC10" t="str">
            <v>P3</v>
          </cell>
          <cell r="AD10">
            <v>5.555555555555555</v>
          </cell>
          <cell r="AE10">
            <v>12</v>
          </cell>
          <cell r="AF10">
            <v>0</v>
          </cell>
          <cell r="AG10" t="str">
            <v>CONO</v>
          </cell>
          <cell r="AH10">
            <v>5</v>
          </cell>
        </row>
        <row r="11">
          <cell r="O11">
            <v>4</v>
          </cell>
          <cell r="P11" t="str">
            <v>DUSCHMOL</v>
          </cell>
          <cell r="Q11">
            <v>4</v>
          </cell>
          <cell r="R11">
            <v>45</v>
          </cell>
          <cell r="S11">
            <v>12</v>
          </cell>
          <cell r="T11" t="str">
            <v>P4</v>
          </cell>
          <cell r="U11">
            <v>25</v>
          </cell>
          <cell r="V11">
            <v>0</v>
          </cell>
          <cell r="W11">
            <v>6</v>
          </cell>
          <cell r="X11">
            <v>4</v>
          </cell>
          <cell r="Y11" t="str">
            <v>DUGLAND</v>
          </cell>
          <cell r="Z11">
            <v>3</v>
          </cell>
          <cell r="AA11">
            <v>60</v>
          </cell>
          <cell r="AB11">
            <v>12</v>
          </cell>
          <cell r="AC11" t="str">
            <v>V4</v>
          </cell>
          <cell r="AD11">
            <v>5</v>
          </cell>
          <cell r="AE11">
            <v>24</v>
          </cell>
          <cell r="AF11">
            <v>2</v>
          </cell>
          <cell r="AG11" t="str">
            <v>DUSCHMOL</v>
          </cell>
          <cell r="AH11">
            <v>5</v>
          </cell>
        </row>
        <row r="12">
          <cell r="O12">
            <v>5</v>
          </cell>
          <cell r="P12" t="str">
            <v>TROUDUC</v>
          </cell>
          <cell r="Q12">
            <v>1</v>
          </cell>
          <cell r="R12">
            <v>60</v>
          </cell>
          <cell r="S12">
            <v>8</v>
          </cell>
          <cell r="T12" t="str">
            <v>V5</v>
          </cell>
          <cell r="U12">
            <v>12</v>
          </cell>
          <cell r="V12">
            <v>2</v>
          </cell>
          <cell r="W12" t="str">
            <v>FINI</v>
          </cell>
          <cell r="X12">
            <v>5</v>
          </cell>
          <cell r="Y12" t="str">
            <v>DUGLAND</v>
          </cell>
          <cell r="Z12">
            <v>3</v>
          </cell>
          <cell r="AA12">
            <v>50</v>
          </cell>
          <cell r="AB12">
            <v>8</v>
          </cell>
          <cell r="AC12" t="str">
            <v>P5</v>
          </cell>
          <cell r="AD12">
            <v>6.25</v>
          </cell>
          <cell r="AE12">
            <v>15</v>
          </cell>
          <cell r="AF12">
            <v>0</v>
          </cell>
          <cell r="AG12" t="str">
            <v>TROUDUC</v>
          </cell>
          <cell r="AH12" t="str">
            <v>FINI</v>
          </cell>
        </row>
        <row r="13">
          <cell r="O13">
            <v>6</v>
          </cell>
          <cell r="P13" t="str">
            <v>DUSCHMOL</v>
          </cell>
          <cell r="Q13">
            <v>4</v>
          </cell>
          <cell r="R13">
            <v>60</v>
          </cell>
          <cell r="S13">
            <v>11</v>
          </cell>
          <cell r="T13" t="str">
            <v>V6</v>
          </cell>
          <cell r="U13">
            <v>15</v>
          </cell>
          <cell r="V13">
            <v>1</v>
          </cell>
          <cell r="W13" t="str">
            <v>FINI</v>
          </cell>
          <cell r="X13">
            <v>6</v>
          </cell>
          <cell r="Y13" t="str">
            <v>CONO</v>
          </cell>
          <cell r="Z13">
            <v>2</v>
          </cell>
          <cell r="AA13">
            <v>60</v>
          </cell>
          <cell r="AB13">
            <v>11</v>
          </cell>
          <cell r="AC13" t="str">
            <v>P6</v>
          </cell>
          <cell r="AD13">
            <v>5.454545454545454</v>
          </cell>
          <cell r="AE13">
            <v>14</v>
          </cell>
          <cell r="AF13">
            <v>1</v>
          </cell>
          <cell r="AG13" t="str">
            <v>DUSCHMOL</v>
          </cell>
          <cell r="AH13" t="str">
            <v>FINI</v>
          </cell>
        </row>
      </sheetData>
      <sheetData sheetId="3">
        <row r="22">
          <cell r="V22" t="str">
            <v>CONO</v>
          </cell>
          <cell r="W22" t="str">
            <v>1er</v>
          </cell>
        </row>
        <row r="23">
          <cell r="V23" t="str">
            <v>DUGLAND</v>
          </cell>
          <cell r="W23" t="str">
            <v>2ème</v>
          </cell>
        </row>
        <row r="24">
          <cell r="V24" t="str">
            <v>DUSCHMOL</v>
          </cell>
          <cell r="W24" t="str">
            <v>3ème</v>
          </cell>
        </row>
        <row r="25">
          <cell r="V25" t="str">
            <v>TROUDUC</v>
          </cell>
          <cell r="W25" t="str">
            <v>4ème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showGridLines="0" showOutlineSymbols="0" zoomScale="120" zoomScaleNormal="120" zoomScalePageLayoutView="0" workbookViewId="0" topLeftCell="A1">
      <selection activeCell="C7" sqref="C7:D7"/>
    </sheetView>
  </sheetViews>
  <sheetFormatPr defaultColWidth="9.6640625" defaultRowHeight="15"/>
  <cols>
    <col min="1" max="1" width="8.6640625" style="0" customWidth="1"/>
    <col min="2" max="2" width="14.4453125" style="0" customWidth="1"/>
    <col min="3" max="3" width="13.6640625" style="0" customWidth="1"/>
    <col min="4" max="4" width="10.21484375" style="0" customWidth="1"/>
    <col min="5" max="5" width="11.6640625" style="0" customWidth="1"/>
    <col min="6" max="6" width="10.77734375" style="0" customWidth="1"/>
    <col min="7" max="7" width="9.6640625" style="0" customWidth="1"/>
    <col min="8" max="8" width="2.99609375" style="0" customWidth="1"/>
  </cols>
  <sheetData>
    <row r="1" spans="1:9" ht="15">
      <c r="A1" s="252" t="s">
        <v>66</v>
      </c>
      <c r="B1" s="253"/>
      <c r="C1" s="253"/>
      <c r="D1" s="253"/>
      <c r="E1" s="253"/>
      <c r="F1" s="253"/>
      <c r="G1" s="253"/>
      <c r="H1" s="254"/>
      <c r="I1" s="251"/>
    </row>
    <row r="2" spans="1:9" ht="17.25" customHeight="1">
      <c r="A2" s="255"/>
      <c r="B2" s="256" t="s">
        <v>121</v>
      </c>
      <c r="C2" s="393" t="s">
        <v>175</v>
      </c>
      <c r="D2" s="394"/>
      <c r="E2" s="394"/>
      <c r="F2" s="395"/>
      <c r="G2" s="255"/>
      <c r="H2" s="257"/>
      <c r="I2" s="251"/>
    </row>
    <row r="3" spans="1:9" ht="15.75" thickBot="1">
      <c r="A3" s="255"/>
      <c r="B3" s="256" t="s">
        <v>122</v>
      </c>
      <c r="C3" s="387" t="s">
        <v>176</v>
      </c>
      <c r="D3" s="388"/>
      <c r="E3" s="257"/>
      <c r="F3" s="255"/>
      <c r="G3" s="255"/>
      <c r="H3" s="257"/>
      <c r="I3" s="251"/>
    </row>
    <row r="4" spans="1:9" ht="15.75">
      <c r="A4" s="255"/>
      <c r="B4" s="256" t="s">
        <v>123</v>
      </c>
      <c r="C4" s="387" t="s">
        <v>162</v>
      </c>
      <c r="D4" s="388"/>
      <c r="E4" s="398" t="s">
        <v>161</v>
      </c>
      <c r="F4" s="398"/>
      <c r="G4" s="398"/>
      <c r="H4" s="399"/>
      <c r="I4" s="251"/>
    </row>
    <row r="5" spans="1:9" ht="15.75">
      <c r="A5" s="255"/>
      <c r="B5" s="256" t="s">
        <v>124</v>
      </c>
      <c r="C5" s="258">
        <v>25</v>
      </c>
      <c r="D5" s="259" t="s">
        <v>8</v>
      </c>
      <c r="E5" s="400" t="s">
        <v>67</v>
      </c>
      <c r="F5" s="400"/>
      <c r="G5" s="400"/>
      <c r="H5" s="401"/>
      <c r="I5" s="251"/>
    </row>
    <row r="6" spans="1:9" ht="15.75">
      <c r="A6" s="255"/>
      <c r="B6" s="256" t="s">
        <v>125</v>
      </c>
      <c r="C6" s="387" t="s">
        <v>163</v>
      </c>
      <c r="D6" s="388"/>
      <c r="E6" s="400" t="s">
        <v>69</v>
      </c>
      <c r="F6" s="400"/>
      <c r="G6" s="400"/>
      <c r="H6" s="401"/>
      <c r="I6" s="251"/>
    </row>
    <row r="7" spans="1:9" ht="15.75">
      <c r="A7" s="255"/>
      <c r="B7" s="256" t="s">
        <v>126</v>
      </c>
      <c r="C7" s="387" t="s">
        <v>166</v>
      </c>
      <c r="D7" s="388"/>
      <c r="E7" s="400" t="s">
        <v>71</v>
      </c>
      <c r="F7" s="400"/>
      <c r="G7" s="400"/>
      <c r="H7" s="401"/>
      <c r="I7" s="251"/>
    </row>
    <row r="8" spans="1:9" ht="16.5" thickBot="1">
      <c r="A8" s="255"/>
      <c r="B8" s="256" t="s">
        <v>127</v>
      </c>
      <c r="C8" s="387" t="s">
        <v>164</v>
      </c>
      <c r="D8" s="388"/>
      <c r="E8" s="396" t="s">
        <v>68</v>
      </c>
      <c r="F8" s="396"/>
      <c r="G8" s="396"/>
      <c r="H8" s="397"/>
      <c r="I8" s="251"/>
    </row>
    <row r="9" spans="1:9" ht="15">
      <c r="A9" s="255"/>
      <c r="B9" s="256" t="s">
        <v>128</v>
      </c>
      <c r="C9" s="389" t="s">
        <v>165</v>
      </c>
      <c r="D9" s="390"/>
      <c r="E9" s="257"/>
      <c r="F9" s="255"/>
      <c r="G9" s="255"/>
      <c r="H9" s="257"/>
      <c r="I9" s="251"/>
    </row>
    <row r="10" spans="1:9" ht="15">
      <c r="A10" s="255"/>
      <c r="B10" s="256" t="s">
        <v>129</v>
      </c>
      <c r="C10" s="391"/>
      <c r="D10" s="392"/>
      <c r="E10" s="260"/>
      <c r="F10" s="255"/>
      <c r="G10" s="255"/>
      <c r="H10" s="257"/>
      <c r="I10" s="251"/>
    </row>
    <row r="11" spans="1:9" ht="8.25" customHeight="1" thickBot="1">
      <c r="A11" s="255"/>
      <c r="B11" s="255"/>
      <c r="C11" s="257"/>
      <c r="D11" s="255"/>
      <c r="E11" s="255"/>
      <c r="F11" s="255"/>
      <c r="G11" s="255"/>
      <c r="H11" s="257"/>
      <c r="I11" s="251"/>
    </row>
    <row r="12" spans="1:9" ht="15.75">
      <c r="A12" s="261" t="s">
        <v>160</v>
      </c>
      <c r="B12" s="262" t="s">
        <v>3</v>
      </c>
      <c r="C12" s="263" t="s">
        <v>4</v>
      </c>
      <c r="D12" s="263" t="s">
        <v>5</v>
      </c>
      <c r="E12" s="370" t="s">
        <v>6</v>
      </c>
      <c r="F12" s="371" t="s">
        <v>13</v>
      </c>
      <c r="G12" s="264"/>
      <c r="H12" s="257"/>
      <c r="I12" s="251"/>
    </row>
    <row r="13" spans="1:9" ht="21.75" customHeight="1">
      <c r="A13" s="36">
        <v>1</v>
      </c>
      <c r="B13" s="352" t="s">
        <v>170</v>
      </c>
      <c r="C13" s="200"/>
      <c r="D13" s="354"/>
      <c r="E13" s="200"/>
      <c r="F13" s="376"/>
      <c r="G13" s="266">
        <v>1</v>
      </c>
      <c r="H13" s="257"/>
      <c r="I13" s="374"/>
    </row>
    <row r="14" spans="1:9" ht="21.75" customHeight="1">
      <c r="A14" s="36">
        <v>2</v>
      </c>
      <c r="B14" s="367" t="s">
        <v>171</v>
      </c>
      <c r="C14" s="200"/>
      <c r="D14" s="201"/>
      <c r="E14" s="200"/>
      <c r="F14" s="376"/>
      <c r="G14" s="266">
        <v>2</v>
      </c>
      <c r="H14" s="257"/>
      <c r="I14" s="375"/>
    </row>
    <row r="15" spans="1:9" ht="21.75" customHeight="1">
      <c r="A15" s="36">
        <v>3</v>
      </c>
      <c r="B15" s="265" t="s">
        <v>172</v>
      </c>
      <c r="C15" s="200"/>
      <c r="D15" s="201"/>
      <c r="E15" s="200"/>
      <c r="F15" s="376"/>
      <c r="G15" s="266">
        <v>3</v>
      </c>
      <c r="H15" s="257"/>
      <c r="I15" s="375"/>
    </row>
    <row r="16" spans="1:9" ht="21.75" customHeight="1">
      <c r="A16" s="37">
        <v>4</v>
      </c>
      <c r="B16" s="368" t="s">
        <v>173</v>
      </c>
      <c r="C16" s="369"/>
      <c r="D16" s="353"/>
      <c r="E16" s="200"/>
      <c r="F16" s="372"/>
      <c r="G16" s="266">
        <v>4</v>
      </c>
      <c r="H16" s="257"/>
      <c r="I16" s="375"/>
    </row>
    <row r="17" spans="1:9" ht="21.75" customHeight="1" thickBot="1">
      <c r="A17" s="267">
        <v>5</v>
      </c>
      <c r="B17" s="202" t="s">
        <v>174</v>
      </c>
      <c r="C17" s="202"/>
      <c r="D17" s="203"/>
      <c r="E17" s="202"/>
      <c r="F17" s="373"/>
      <c r="G17" s="268">
        <v>5</v>
      </c>
      <c r="H17" s="257"/>
      <c r="I17" s="375"/>
    </row>
    <row r="18" spans="1:9" ht="15">
      <c r="A18" s="257"/>
      <c r="B18" s="257"/>
      <c r="C18" s="257"/>
      <c r="D18" s="257"/>
      <c r="E18" s="257"/>
      <c r="F18" s="257"/>
      <c r="G18" s="257"/>
      <c r="H18" s="257"/>
      <c r="I18" s="251"/>
    </row>
    <row r="19" spans="1:9" ht="15">
      <c r="A19" s="257"/>
      <c r="B19" s="269" t="s">
        <v>120</v>
      </c>
      <c r="C19" s="257"/>
      <c r="D19" s="257"/>
      <c r="E19" s="257"/>
      <c r="F19" s="257"/>
      <c r="G19" s="257"/>
      <c r="H19" s="257"/>
      <c r="I19" s="251"/>
    </row>
    <row r="20" spans="1:9" ht="15">
      <c r="A20" s="251"/>
      <c r="B20" s="251"/>
      <c r="C20" s="251"/>
      <c r="D20" s="251"/>
      <c r="E20" s="251"/>
      <c r="F20" s="251"/>
      <c r="G20" s="251"/>
      <c r="H20" s="251"/>
      <c r="I20" s="251"/>
    </row>
    <row r="21" spans="1:9" ht="15">
      <c r="A21" s="251"/>
      <c r="B21" s="251"/>
      <c r="C21" s="251"/>
      <c r="D21" s="251"/>
      <c r="E21" s="251"/>
      <c r="F21" s="251"/>
      <c r="G21" s="251"/>
      <c r="H21" s="251"/>
      <c r="I21" s="251"/>
    </row>
    <row r="22" spans="1:9" ht="15">
      <c r="A22" s="251"/>
      <c r="B22" s="251"/>
      <c r="C22" s="251"/>
      <c r="D22" s="251"/>
      <c r="E22" s="251"/>
      <c r="F22" s="251"/>
      <c r="G22" s="251"/>
      <c r="H22" s="251"/>
      <c r="I22" s="251"/>
    </row>
    <row r="23" spans="1:9" ht="15">
      <c r="A23" s="251"/>
      <c r="B23" s="251"/>
      <c r="C23" s="251"/>
      <c r="D23" s="251"/>
      <c r="E23" s="251"/>
      <c r="F23" s="251"/>
      <c r="G23" s="251"/>
      <c r="H23" s="251"/>
      <c r="I23" s="251"/>
    </row>
    <row r="24" spans="1:9" ht="102.75" customHeight="1">
      <c r="A24" s="251"/>
      <c r="B24" s="251"/>
      <c r="C24" s="251"/>
      <c r="D24" s="251"/>
      <c r="E24" s="251"/>
      <c r="F24" s="251"/>
      <c r="G24" s="251"/>
      <c r="H24" s="251"/>
      <c r="I24" s="251"/>
    </row>
  </sheetData>
  <sheetProtection/>
  <mergeCells count="13">
    <mergeCell ref="C4:D4"/>
    <mergeCell ref="C6:D6"/>
    <mergeCell ref="C7:D7"/>
    <mergeCell ref="C8:D8"/>
    <mergeCell ref="C9:D9"/>
    <mergeCell ref="C10:D10"/>
    <mergeCell ref="C2:F2"/>
    <mergeCell ref="E8:H8"/>
    <mergeCell ref="E4:H4"/>
    <mergeCell ref="E5:H5"/>
    <mergeCell ref="E6:H6"/>
    <mergeCell ref="E7:H7"/>
    <mergeCell ref="C3:D3"/>
  </mergeCells>
  <dataValidations count="5">
    <dataValidation type="list" allowBlank="1" showInputMessage="1" showErrorMessage="1" sqref="C4">
      <formula1>"2m80,3m10,1m20"</formula1>
    </dataValidation>
    <dataValidation type="list" allowBlank="1" showInputMessage="1" showErrorMessage="1" sqref="C8">
      <formula1>"ROUSSE ou BLONDE,A,B,C,D,UNIQUE"</formula1>
    </dataValidation>
    <dataValidation type="list" allowBlank="1" showInputMessage="1" showErrorMessage="1" sqref="C6">
      <formula1>"BOUCHON,3 BANDES,LIBRE,CADRE 42/2,CADRE47/2,CADRE71,BANDE"</formula1>
    </dataValidation>
    <dataValidation type="list" allowBlank="1" showInputMessage="1" showErrorMessage="1" sqref="C3:D3">
      <formula1>"NATIONALE 1,NATIONALE 2,NATIONALE 3,REGIONALE 1,REGIONALE 2,REGIONALE 3,REGIONALE 4,HANDICAP"</formula1>
    </dataValidation>
    <dataValidation type="list" allowBlank="1" showInputMessage="1" showErrorMessage="1" sqref="C7:D7">
      <formula1>"DU QUARTIER,RANKING,TOURNOI,CLASSEMENT,SOUS-DISTRICT,DISTRICT,DEMI-LIGUE,LIGUE,SECTEUR"</formula1>
    </dataValidation>
  </dataValidations>
  <printOptions horizontalCentered="1" verticalCentered="1"/>
  <pageMargins left="0.12569444444444444" right="0.45902777777777776" top="0.15694444444444444" bottom="0.4583333333333333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P85"/>
  <sheetViews>
    <sheetView showGridLines="0" showOutlineSymbols="0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G22" sqref="G22:J22"/>
    </sheetView>
  </sheetViews>
  <sheetFormatPr defaultColWidth="9.6640625" defaultRowHeight="15"/>
  <cols>
    <col min="1" max="1" width="4.3359375" style="0" customWidth="1"/>
    <col min="2" max="9" width="7.6640625" style="0" customWidth="1"/>
    <col min="10" max="10" width="8.99609375" style="0" customWidth="1"/>
    <col min="11" max="11" width="14.6640625" style="0" customWidth="1"/>
    <col min="12" max="19" width="7.6640625" style="0" customWidth="1"/>
    <col min="20" max="20" width="8.99609375" style="0" customWidth="1"/>
    <col min="21" max="21" width="4.99609375" style="0" customWidth="1"/>
    <col min="22" max="23" width="9.6640625" style="0" customWidth="1"/>
    <col min="24" max="24" width="3.21484375" style="0" bestFit="1" customWidth="1"/>
    <col min="25" max="25" width="6.10546875" style="0" bestFit="1" customWidth="1"/>
    <col min="26" max="26" width="11.4453125" style="0" customWidth="1"/>
    <col min="27" max="27" width="6.5546875" style="0" bestFit="1" customWidth="1"/>
    <col min="28" max="28" width="4.10546875" style="0" bestFit="1" customWidth="1"/>
    <col min="29" max="29" width="5.21484375" style="0" bestFit="1" customWidth="1"/>
    <col min="30" max="30" width="6.99609375" style="0" bestFit="1" customWidth="1"/>
    <col min="31" max="31" width="11.6640625" style="0" bestFit="1" customWidth="1"/>
    <col min="32" max="32" width="3.21484375" style="0" bestFit="1" customWidth="1"/>
    <col min="33" max="33" width="4.10546875" style="0" customWidth="1"/>
    <col min="34" max="34" width="3.21484375" style="0" bestFit="1" customWidth="1"/>
    <col min="35" max="35" width="6.10546875" style="0" bestFit="1" customWidth="1"/>
    <col min="36" max="36" width="11.6640625" style="0" bestFit="1" customWidth="1"/>
    <col min="37" max="37" width="6.5546875" style="0" customWidth="1"/>
    <col min="38" max="38" width="4.10546875" style="0" bestFit="1" customWidth="1"/>
    <col min="39" max="39" width="5.21484375" style="0" customWidth="1"/>
    <col min="40" max="40" width="6.99609375" style="0" customWidth="1"/>
    <col min="41" max="41" width="11.6640625" style="0" bestFit="1" customWidth="1"/>
    <col min="42" max="42" width="3.6640625" style="0" bestFit="1" customWidth="1"/>
  </cols>
  <sheetData>
    <row r="1" spans="1:22" ht="21.75" customHeight="1" thickBo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180"/>
    </row>
    <row r="2" spans="1:21" ht="33.75" customHeight="1">
      <c r="A2" s="402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406" t="s">
        <v>51</v>
      </c>
      <c r="L2" s="407"/>
      <c r="M2" s="407"/>
      <c r="N2" s="407"/>
      <c r="O2" s="407"/>
      <c r="P2" s="407"/>
      <c r="Q2" s="407"/>
      <c r="R2" s="407"/>
      <c r="S2" s="407"/>
      <c r="T2" s="408"/>
      <c r="U2" s="402" t="s">
        <v>62</v>
      </c>
    </row>
    <row r="3" spans="1:21" ht="21.75" customHeight="1">
      <c r="A3" s="403"/>
      <c r="B3" s="181"/>
      <c r="C3" s="181"/>
      <c r="D3" s="181"/>
      <c r="E3" s="181"/>
      <c r="F3" s="181"/>
      <c r="G3" s="181"/>
      <c r="H3" s="181"/>
      <c r="I3" s="181"/>
      <c r="J3" s="181"/>
      <c r="K3" s="175" t="str">
        <f>NOM1</f>
        <v>SOCRATE</v>
      </c>
      <c r="L3" s="409" t="str">
        <f>NOM2</f>
        <v>KANT</v>
      </c>
      <c r="M3" s="409"/>
      <c r="N3" s="409" t="str">
        <f>NOM3</f>
        <v>NIETZCHE</v>
      </c>
      <c r="O3" s="409"/>
      <c r="P3" s="409" t="str">
        <f>NOM4</f>
        <v>DEBORD</v>
      </c>
      <c r="Q3" s="409"/>
      <c r="R3" s="409" t="str">
        <f>NOM5</f>
        <v>TORTAJADA</v>
      </c>
      <c r="S3" s="409"/>
      <c r="T3" s="176"/>
      <c r="U3" s="403"/>
    </row>
    <row r="4" spans="1:21" ht="77.25" customHeight="1" thickBot="1">
      <c r="A4" s="404"/>
      <c r="B4" s="181"/>
      <c r="C4" s="181"/>
      <c r="D4" s="181"/>
      <c r="E4" s="181"/>
      <c r="F4" s="187"/>
      <c r="G4" s="181"/>
      <c r="H4" s="181"/>
      <c r="I4" s="181"/>
      <c r="J4" s="181"/>
      <c r="K4" s="177"/>
      <c r="L4" s="178"/>
      <c r="M4" s="178"/>
      <c r="N4" s="178"/>
      <c r="O4" s="178"/>
      <c r="P4" s="178"/>
      <c r="Q4" s="178"/>
      <c r="R4" s="178"/>
      <c r="S4" s="178"/>
      <c r="T4" s="179"/>
      <c r="U4" s="404"/>
    </row>
    <row r="5" spans="1:12" ht="22.5" customHeight="1">
      <c r="A5" s="1"/>
      <c r="B5" s="1"/>
      <c r="C5" s="1"/>
      <c r="D5" s="1"/>
      <c r="E5" s="1"/>
      <c r="F5" s="1"/>
      <c r="G5" s="1"/>
      <c r="H5" s="1"/>
      <c r="I5" s="1"/>
      <c r="K5" s="183" t="s">
        <v>63</v>
      </c>
      <c r="L5" s="248">
        <v>1</v>
      </c>
    </row>
    <row r="6" spans="1:11" ht="1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31" ht="19.5" customHeight="1">
      <c r="A7" s="1">
        <f>IF(L5="","",IF(L5=1,1,IF(L5=2,3,IF(L5=3,5,IF(L5=4,7,IF(L5=5,9,""))))))</f>
        <v>1</v>
      </c>
      <c r="B7" s="9"/>
      <c r="C7" s="23" t="s">
        <v>75</v>
      </c>
      <c r="D7" s="10"/>
      <c r="E7" s="10"/>
      <c r="F7" s="208" t="s">
        <v>74</v>
      </c>
      <c r="G7" s="10"/>
      <c r="H7" s="11"/>
      <c r="I7" s="207" t="s">
        <v>76</v>
      </c>
      <c r="J7" s="12"/>
      <c r="K7" s="1">
        <f>IF(L5="","",A7+1)</f>
        <v>2</v>
      </c>
      <c r="L7" s="9"/>
      <c r="M7" s="23" t="s">
        <v>87</v>
      </c>
      <c r="N7" s="10"/>
      <c r="O7" s="10"/>
      <c r="P7" s="208" t="s">
        <v>85</v>
      </c>
      <c r="Q7" s="10"/>
      <c r="R7" s="11"/>
      <c r="S7" s="207" t="s">
        <v>86</v>
      </c>
      <c r="T7" s="12"/>
      <c r="Y7" s="47">
        <v>1</v>
      </c>
      <c r="Z7" s="47">
        <v>2</v>
      </c>
      <c r="AA7" s="47">
        <v>4</v>
      </c>
      <c r="AB7" s="47">
        <v>5</v>
      </c>
      <c r="AC7" s="47">
        <v>8</v>
      </c>
      <c r="AD7" s="47">
        <v>9</v>
      </c>
      <c r="AE7" s="47">
        <v>10</v>
      </c>
    </row>
    <row r="8" spans="1:42" ht="24" customHeight="1">
      <c r="A8" s="1"/>
      <c r="B8" s="416" t="str">
        <f>[0]!NOM3</f>
        <v>NIETZCHE</v>
      </c>
      <c r="C8" s="417"/>
      <c r="D8" s="417"/>
      <c r="E8" s="417"/>
      <c r="F8" s="19"/>
      <c r="G8" s="418" t="str">
        <f>[0]!NOM4</f>
        <v>DEBORD</v>
      </c>
      <c r="H8" s="418"/>
      <c r="I8" s="418"/>
      <c r="J8" s="419"/>
      <c r="K8" s="39" t="s">
        <v>32</v>
      </c>
      <c r="L8" s="410" t="str">
        <f>[0]!NOM2</f>
        <v>KANT</v>
      </c>
      <c r="M8" s="411"/>
      <c r="N8" s="411"/>
      <c r="O8" s="412"/>
      <c r="P8" s="7"/>
      <c r="Q8" s="410" t="str">
        <f>[0]!NOM5</f>
        <v>TORTAJADA</v>
      </c>
      <c r="R8" s="411"/>
      <c r="S8" s="411"/>
      <c r="T8" s="412"/>
      <c r="X8" s="48" t="s">
        <v>21</v>
      </c>
      <c r="Y8" s="48" t="s">
        <v>34</v>
      </c>
      <c r="Z8" s="48" t="s">
        <v>35</v>
      </c>
      <c r="AA8" s="48" t="s">
        <v>8</v>
      </c>
      <c r="AB8" s="48" t="s">
        <v>36</v>
      </c>
      <c r="AC8" s="48" t="s">
        <v>9</v>
      </c>
      <c r="AD8" s="48" t="s">
        <v>37</v>
      </c>
      <c r="AE8" s="48" t="s">
        <v>38</v>
      </c>
      <c r="AF8" s="48" t="s">
        <v>21</v>
      </c>
      <c r="AH8" s="58" t="s">
        <v>21</v>
      </c>
      <c r="AI8" s="58" t="s">
        <v>34</v>
      </c>
      <c r="AJ8" s="58" t="s">
        <v>35</v>
      </c>
      <c r="AK8" s="58" t="s">
        <v>8</v>
      </c>
      <c r="AL8" s="58" t="s">
        <v>36</v>
      </c>
      <c r="AM8" s="58" t="s">
        <v>9</v>
      </c>
      <c r="AN8" s="58" t="s">
        <v>37</v>
      </c>
      <c r="AO8" s="58" t="s">
        <v>38</v>
      </c>
      <c r="AP8" s="58" t="s">
        <v>21</v>
      </c>
    </row>
    <row r="9" spans="1:42" ht="15.75" customHeight="1">
      <c r="A9" s="1"/>
      <c r="B9" s="13" t="s">
        <v>8</v>
      </c>
      <c r="C9" s="14" t="s">
        <v>7</v>
      </c>
      <c r="D9" s="15" t="s">
        <v>9</v>
      </c>
      <c r="E9" s="15" t="s">
        <v>10</v>
      </c>
      <c r="F9" s="20" t="s">
        <v>11</v>
      </c>
      <c r="G9" s="15" t="s">
        <v>8</v>
      </c>
      <c r="H9" s="14" t="s">
        <v>7</v>
      </c>
      <c r="I9" s="15" t="s">
        <v>9</v>
      </c>
      <c r="J9" s="16" t="s">
        <v>10</v>
      </c>
      <c r="K9" s="38" t="str">
        <f>[0]!NOM1</f>
        <v>SOCRATE</v>
      </c>
      <c r="L9" s="13" t="s">
        <v>8</v>
      </c>
      <c r="M9" s="22" t="s">
        <v>7</v>
      </c>
      <c r="N9" s="15" t="s">
        <v>9</v>
      </c>
      <c r="O9" s="16" t="s">
        <v>10</v>
      </c>
      <c r="P9" s="21" t="s">
        <v>11</v>
      </c>
      <c r="Q9" s="13" t="s">
        <v>8</v>
      </c>
      <c r="R9" s="22" t="s">
        <v>7</v>
      </c>
      <c r="S9" s="15" t="s">
        <v>9</v>
      </c>
      <c r="T9" s="16" t="s">
        <v>10</v>
      </c>
      <c r="X9" s="67">
        <f>VLOOKUP(Z9,init,6,FALSE)</f>
        <v>3</v>
      </c>
      <c r="Y9" s="49">
        <f>A$7</f>
        <v>1</v>
      </c>
      <c r="Z9" s="50" t="str">
        <f>$B$8</f>
        <v>NIETZCHE</v>
      </c>
      <c r="AA9" s="49">
        <f>$B$10</f>
        <v>0</v>
      </c>
      <c r="AB9" s="49">
        <f>$F$10</f>
        <v>0</v>
      </c>
      <c r="AC9" s="49">
        <f>$D$10</f>
        <v>0</v>
      </c>
      <c r="AD9" s="51">
        <f>$E$10</f>
      </c>
      <c r="AE9" s="50" t="str">
        <f>$G$8</f>
        <v>DEBORD</v>
      </c>
      <c r="AF9" s="67">
        <f>VLOOKUP(AE9,init,6,FALSE)</f>
        <v>4</v>
      </c>
      <c r="AG9" s="47" t="str">
        <f>AH9&amp;1</f>
        <v>11</v>
      </c>
      <c r="AH9" s="70">
        <f aca="true" t="shared" si="0" ref="AH9:AH28">VLOOKUP(AJ9,init,6,FALSE)</f>
        <v>1</v>
      </c>
      <c r="AI9" s="71">
        <f>Y$11</f>
        <v>3</v>
      </c>
      <c r="AJ9" s="72" t="str">
        <f>$B$15</f>
        <v>SOCRATE</v>
      </c>
      <c r="AK9" s="71">
        <f>IF($B$17=0,"",$B$17)</f>
      </c>
      <c r="AL9" s="71">
        <f>IF($F$17=0,"",$F$17)</f>
      </c>
      <c r="AM9" s="71">
        <f>IF($D$17=0,"",$D$17)</f>
      </c>
      <c r="AN9" s="73">
        <f>$E$17</f>
      </c>
      <c r="AO9" s="72" t="str">
        <f>$G$15</f>
        <v>TORTAJADA</v>
      </c>
      <c r="AP9" s="70">
        <f aca="true" t="shared" si="1" ref="AP9:AP28">VLOOKUP(AO9,init,6,FALSE)</f>
        <v>5</v>
      </c>
    </row>
    <row r="10" spans="1:42" ht="22.5" customHeight="1" thickBot="1">
      <c r="A10" s="1"/>
      <c r="B10" s="209"/>
      <c r="C10" s="344">
        <f>IF(F10=0,"",B10/F10)</f>
      </c>
      <c r="D10" s="210"/>
      <c r="E10" s="17">
        <f>IF(F10=0,"",IF(B10&gt;G10,2,IF(B10=G10,1,0)))</f>
      </c>
      <c r="F10" s="211"/>
      <c r="G10" s="209"/>
      <c r="H10" s="344">
        <f>IF(F10=0,"",G10/F10)</f>
      </c>
      <c r="I10" s="210"/>
      <c r="J10" s="18">
        <f>IF(F10=0,"",IF(B10&gt;G10,0,IF(G10=B10,1,2)))</f>
      </c>
      <c r="K10" s="7"/>
      <c r="L10" s="209"/>
      <c r="M10" s="344">
        <f>IF(P10=0,"",L10/P10)</f>
      </c>
      <c r="N10" s="210"/>
      <c r="O10" s="17">
        <f>IF(P10=0,"",IF(L10&gt;Q10,2,IF(L10=Q10,1,0)))</f>
      </c>
      <c r="P10" s="211"/>
      <c r="Q10" s="209"/>
      <c r="R10" s="344">
        <f>IF(P10=0,"",Q10/P10)</f>
      </c>
      <c r="S10" s="210"/>
      <c r="T10" s="18">
        <f>IF(P10=0,"",IF(L10&gt;Q10,0,IF(Q10=L10,1,2)))</f>
      </c>
      <c r="X10" s="67">
        <f aca="true" t="shared" si="2" ref="X10:X28">VLOOKUP(Z10,init,6,FALSE)</f>
        <v>2</v>
      </c>
      <c r="Y10" s="49">
        <f>K$7</f>
        <v>2</v>
      </c>
      <c r="Z10" s="50" t="str">
        <f>$L$8</f>
        <v>KANT</v>
      </c>
      <c r="AA10" s="49">
        <f>$L$10</f>
        <v>0</v>
      </c>
      <c r="AB10" s="49">
        <f>$P$10</f>
        <v>0</v>
      </c>
      <c r="AC10" s="49">
        <f>$N$10</f>
        <v>0</v>
      </c>
      <c r="AD10" s="51">
        <f>$O$10</f>
      </c>
      <c r="AE10" s="50" t="str">
        <f>$Q$8</f>
        <v>TORTAJADA</v>
      </c>
      <c r="AF10" s="67">
        <f aca="true" t="shared" si="3" ref="AF10:AF28">VLOOKUP(AE10,init,6,FALSE)</f>
        <v>5</v>
      </c>
      <c r="AG10" s="47" t="str">
        <f>AH10&amp;2</f>
        <v>12</v>
      </c>
      <c r="AH10" s="63">
        <f t="shared" si="0"/>
        <v>1</v>
      </c>
      <c r="AI10" s="64">
        <f>Y$14</f>
        <v>6</v>
      </c>
      <c r="AJ10" s="65" t="str">
        <f>$L$22</f>
        <v>SOCRATE</v>
      </c>
      <c r="AK10" s="64">
        <f>IF($L$24=0,"",$L$24)</f>
      </c>
      <c r="AL10" s="64">
        <f>IF($P$24=0,"",$P$24)</f>
      </c>
      <c r="AM10" s="64">
        <f>IF($N$24=0,"",$N$24)</f>
      </c>
      <c r="AN10" s="66">
        <f>$O$24</f>
      </c>
      <c r="AO10" s="65" t="str">
        <f>$Q$22</f>
        <v>DEBORD</v>
      </c>
      <c r="AP10" s="63">
        <f t="shared" si="1"/>
        <v>4</v>
      </c>
    </row>
    <row r="11" spans="1:42" ht="16.5" thickBot="1">
      <c r="A11" s="1"/>
      <c r="B11" s="7"/>
      <c r="C11" s="8"/>
      <c r="D11" s="7"/>
      <c r="E11" s="7"/>
      <c r="F11" s="7"/>
      <c r="G11" s="7"/>
      <c r="H11" s="8"/>
      <c r="I11" s="7"/>
      <c r="J11" s="7"/>
      <c r="K11" s="1"/>
      <c r="X11" s="67">
        <f t="shared" si="2"/>
        <v>1</v>
      </c>
      <c r="Y11" s="49">
        <f>A$14</f>
        <v>3</v>
      </c>
      <c r="Z11" s="50" t="str">
        <f>$B$15</f>
        <v>SOCRATE</v>
      </c>
      <c r="AA11" s="49">
        <f>$B$17</f>
        <v>0</v>
      </c>
      <c r="AB11" s="49">
        <f>$F$17</f>
        <v>0</v>
      </c>
      <c r="AC11" s="49">
        <f>$D$17</f>
        <v>0</v>
      </c>
      <c r="AD11" s="51">
        <f>$E$17</f>
      </c>
      <c r="AE11" s="50" t="str">
        <f>$G$15</f>
        <v>TORTAJADA</v>
      </c>
      <c r="AF11" s="67">
        <f t="shared" si="3"/>
        <v>5</v>
      </c>
      <c r="AG11" s="47" t="str">
        <f>AH11&amp;3</f>
        <v>13</v>
      </c>
      <c r="AH11" s="63">
        <f t="shared" si="0"/>
        <v>1</v>
      </c>
      <c r="AI11" s="64">
        <f>Y$16</f>
        <v>8</v>
      </c>
      <c r="AJ11" s="65" t="str">
        <f>$L$29</f>
        <v>SOCRATE</v>
      </c>
      <c r="AK11" s="64">
        <f>IF($L$31=0,"",$L$31)</f>
      </c>
      <c r="AL11" s="64">
        <f>IF($P$31=0,"",$P$31)</f>
      </c>
      <c r="AM11" s="64">
        <f>IF($N$31=0,"",$N$31)</f>
      </c>
      <c r="AN11" s="66">
        <f>$O$31</f>
      </c>
      <c r="AO11" s="65" t="str">
        <f>$Q$29</f>
        <v>NIETZCHE</v>
      </c>
      <c r="AP11" s="63">
        <f t="shared" si="1"/>
        <v>3</v>
      </c>
    </row>
    <row r="12" spans="1:42" ht="27" customHeight="1" thickTop="1">
      <c r="A12" s="40"/>
      <c r="B12" s="41"/>
      <c r="C12" s="41"/>
      <c r="D12" s="41"/>
      <c r="E12" s="41"/>
      <c r="F12" s="41"/>
      <c r="G12" s="41"/>
      <c r="H12" s="41"/>
      <c r="I12" s="41"/>
      <c r="J12" s="182"/>
      <c r="K12" s="184" t="s">
        <v>63</v>
      </c>
      <c r="L12" s="249">
        <v>2</v>
      </c>
      <c r="M12" s="41"/>
      <c r="N12" s="41"/>
      <c r="O12" s="41"/>
      <c r="P12" s="41"/>
      <c r="Q12" s="41"/>
      <c r="R12" s="41"/>
      <c r="S12" s="41"/>
      <c r="T12" s="41"/>
      <c r="U12" s="41"/>
      <c r="X12" s="67">
        <f t="shared" si="2"/>
        <v>2</v>
      </c>
      <c r="Y12" s="49">
        <f>K$14</f>
        <v>4</v>
      </c>
      <c r="Z12" s="50" t="str">
        <f>$L$15</f>
        <v>KANT</v>
      </c>
      <c r="AA12" s="49">
        <f>$L$17</f>
        <v>0</v>
      </c>
      <c r="AB12" s="49">
        <f>$P$17</f>
        <v>0</v>
      </c>
      <c r="AC12" s="49">
        <f>$N$17</f>
        <v>0</v>
      </c>
      <c r="AD12" s="51">
        <f>$O$17</f>
      </c>
      <c r="AE12" s="50" t="str">
        <f>$Q$15</f>
        <v>NIETZCHE</v>
      </c>
      <c r="AF12" s="67">
        <f t="shared" si="3"/>
        <v>3</v>
      </c>
      <c r="AG12" s="47" t="str">
        <f>AH12&amp;4</f>
        <v>14</v>
      </c>
      <c r="AH12" s="74">
        <f t="shared" si="0"/>
        <v>1</v>
      </c>
      <c r="AI12" s="75">
        <f>Y$17</f>
        <v>9</v>
      </c>
      <c r="AJ12" s="76" t="str">
        <f>$B$36</f>
        <v>SOCRATE</v>
      </c>
      <c r="AK12" s="75">
        <f>IF($B$38=0,"",$B$38)</f>
      </c>
      <c r="AL12" s="75">
        <f>IF($F$38=0,"",$F$38)</f>
      </c>
      <c r="AM12" s="75">
        <f>IF($D$38=0,"",$D$38)</f>
      </c>
      <c r="AN12" s="77">
        <f>$E$38</f>
      </c>
      <c r="AO12" s="76" t="str">
        <f>$G$36</f>
        <v>KANT</v>
      </c>
      <c r="AP12" s="74">
        <f t="shared" si="1"/>
        <v>2</v>
      </c>
    </row>
    <row r="13" spans="1:42" ht="14.25" customHeight="1" thickBot="1">
      <c r="A13" s="1"/>
      <c r="X13" s="67">
        <f t="shared" si="2"/>
        <v>3</v>
      </c>
      <c r="Y13" s="49">
        <f>A$21</f>
        <v>5</v>
      </c>
      <c r="Z13" s="50" t="str">
        <f>$B$22</f>
        <v>NIETZCHE</v>
      </c>
      <c r="AA13" s="49">
        <f>$B$24</f>
        <v>0</v>
      </c>
      <c r="AB13" s="49">
        <f>$F$24</f>
        <v>0</v>
      </c>
      <c r="AC13" s="49">
        <f>$D$24</f>
        <v>0</v>
      </c>
      <c r="AD13" s="51">
        <f>$E$24</f>
      </c>
      <c r="AE13" s="50" t="str">
        <f>$G$22</f>
        <v>TORTAJADA</v>
      </c>
      <c r="AF13" s="68">
        <f t="shared" si="3"/>
        <v>5</v>
      </c>
      <c r="AG13" s="47" t="str">
        <f>AH13&amp;1</f>
        <v>21</v>
      </c>
      <c r="AH13" s="59">
        <f t="shared" si="0"/>
        <v>2</v>
      </c>
      <c r="AI13" s="60">
        <f>Y$10</f>
        <v>2</v>
      </c>
      <c r="AJ13" s="61" t="str">
        <f>$L$8</f>
        <v>KANT</v>
      </c>
      <c r="AK13" s="60">
        <f>IF($L$10=0,"",$L$10)</f>
      </c>
      <c r="AL13" s="60">
        <f>IF($P$10=0,"",$P$10)</f>
      </c>
      <c r="AM13" s="60">
        <f>IF($N$10=0,"",$N$10)</f>
      </c>
      <c r="AN13" s="62">
        <f>$O$10</f>
      </c>
      <c r="AO13" s="61" t="str">
        <f>$Q$8</f>
        <v>TORTAJADA</v>
      </c>
      <c r="AP13" s="59">
        <f t="shared" si="1"/>
        <v>5</v>
      </c>
    </row>
    <row r="14" spans="1:42" ht="16.5" customHeight="1">
      <c r="A14" s="1">
        <f>IF(L12="","",IF(L12=1,1,IF(L12=2,3,IF(L12=3,5,IF(L12=4,7,IF(L12=5,9,""))))))</f>
        <v>3</v>
      </c>
      <c r="B14" s="9"/>
      <c r="C14" s="42" t="s">
        <v>84</v>
      </c>
      <c r="D14" s="10"/>
      <c r="E14" s="10"/>
      <c r="F14" s="208" t="s">
        <v>83</v>
      </c>
      <c r="G14" s="10"/>
      <c r="H14" s="24"/>
      <c r="I14" s="207" t="s">
        <v>76</v>
      </c>
      <c r="J14" s="12"/>
      <c r="K14" s="1">
        <f>IF(L12="","",A14+1)</f>
        <v>4</v>
      </c>
      <c r="L14" s="9"/>
      <c r="M14" s="42" t="s">
        <v>84</v>
      </c>
      <c r="N14" s="10"/>
      <c r="O14" s="10"/>
      <c r="P14" s="207" t="s">
        <v>91</v>
      </c>
      <c r="Q14" s="10"/>
      <c r="R14" s="24"/>
      <c r="S14" s="207" t="s">
        <v>86</v>
      </c>
      <c r="T14" s="12"/>
      <c r="X14" s="67">
        <f t="shared" si="2"/>
        <v>1</v>
      </c>
      <c r="Y14" s="49">
        <f>K$21</f>
        <v>6</v>
      </c>
      <c r="Z14" s="50" t="str">
        <f>$L$22</f>
        <v>SOCRATE</v>
      </c>
      <c r="AA14" s="49">
        <f>$L$24</f>
        <v>0</v>
      </c>
      <c r="AB14" s="49">
        <f>$P$24</f>
        <v>0</v>
      </c>
      <c r="AC14" s="49">
        <f>$N$24</f>
        <v>0</v>
      </c>
      <c r="AD14" s="51">
        <f>$O$24</f>
      </c>
      <c r="AE14" s="50" t="str">
        <f>$Q$22</f>
        <v>DEBORD</v>
      </c>
      <c r="AF14" s="67">
        <f t="shared" si="3"/>
        <v>4</v>
      </c>
      <c r="AG14" s="47" t="str">
        <f>AH14&amp;2</f>
        <v>22</v>
      </c>
      <c r="AH14" s="59">
        <f t="shared" si="0"/>
        <v>2</v>
      </c>
      <c r="AI14" s="60">
        <f>Y$12</f>
        <v>4</v>
      </c>
      <c r="AJ14" s="61" t="str">
        <f>$L$15</f>
        <v>KANT</v>
      </c>
      <c r="AK14" s="60">
        <f>IF($L$17=0,"",$L$17)</f>
      </c>
      <c r="AL14" s="60">
        <f>IF($P$17=0,"",$P$17)</f>
      </c>
      <c r="AM14" s="60">
        <f>IF($N$17=0,"",$N$17)</f>
      </c>
      <c r="AN14" s="62">
        <f>$O$17</f>
      </c>
      <c r="AO14" s="61" t="str">
        <f>$Q$15</f>
        <v>NIETZCHE</v>
      </c>
      <c r="AP14" s="59">
        <f t="shared" si="1"/>
        <v>3</v>
      </c>
    </row>
    <row r="15" spans="1:42" ht="21.75" customHeight="1">
      <c r="A15" s="1"/>
      <c r="B15" s="410" t="str">
        <f>[0]!NOM1</f>
        <v>SOCRATE</v>
      </c>
      <c r="C15" s="411"/>
      <c r="D15" s="411"/>
      <c r="E15" s="412"/>
      <c r="F15" s="7"/>
      <c r="G15" s="410" t="str">
        <f>[0]!NOM5</f>
        <v>TORTAJADA</v>
      </c>
      <c r="H15" s="411"/>
      <c r="I15" s="411"/>
      <c r="J15" s="412"/>
      <c r="K15" s="39" t="s">
        <v>32</v>
      </c>
      <c r="L15" s="410" t="str">
        <f>[0]!NOM2</f>
        <v>KANT</v>
      </c>
      <c r="M15" s="411"/>
      <c r="N15" s="411"/>
      <c r="O15" s="412"/>
      <c r="P15" s="26"/>
      <c r="Q15" s="413" t="str">
        <f>[0]!NOM3</f>
        <v>NIETZCHE</v>
      </c>
      <c r="R15" s="414"/>
      <c r="S15" s="414"/>
      <c r="T15" s="415"/>
      <c r="X15" s="67">
        <f t="shared" si="2"/>
        <v>2</v>
      </c>
      <c r="Y15" s="49">
        <f>A$28</f>
        <v>7</v>
      </c>
      <c r="Z15" s="50" t="str">
        <f>$B$29</f>
        <v>KANT</v>
      </c>
      <c r="AA15" s="49">
        <f>$B$31</f>
        <v>0</v>
      </c>
      <c r="AB15" s="49">
        <f>$F$31</f>
        <v>0</v>
      </c>
      <c r="AC15" s="49">
        <f>$D$31</f>
        <v>0</v>
      </c>
      <c r="AD15" s="51">
        <f>$E$31</f>
      </c>
      <c r="AE15" s="50" t="str">
        <f>$G$29</f>
        <v>DEBORD</v>
      </c>
      <c r="AF15" s="67">
        <f t="shared" si="3"/>
        <v>4</v>
      </c>
      <c r="AG15" s="47" t="str">
        <f>AH15&amp;3</f>
        <v>23</v>
      </c>
      <c r="AH15" s="59">
        <f t="shared" si="0"/>
        <v>2</v>
      </c>
      <c r="AI15" s="60">
        <f>Y$15</f>
        <v>7</v>
      </c>
      <c r="AJ15" s="61" t="str">
        <f>$B$29</f>
        <v>KANT</v>
      </c>
      <c r="AK15" s="60">
        <f>IF($B$31=0,"",$B$31)</f>
      </c>
      <c r="AL15" s="60">
        <f>IF($F$31=0,"",$F$31)</f>
      </c>
      <c r="AM15" s="60">
        <f>IF($D$31=0,"",$D$31)</f>
      </c>
      <c r="AN15" s="62">
        <f>$E$31</f>
      </c>
      <c r="AO15" s="61" t="str">
        <f>$G$29</f>
        <v>DEBORD</v>
      </c>
      <c r="AP15" s="59">
        <f t="shared" si="1"/>
        <v>4</v>
      </c>
    </row>
    <row r="16" spans="1:42" ht="15.75">
      <c r="A16" s="1"/>
      <c r="B16" s="13" t="s">
        <v>8</v>
      </c>
      <c r="C16" s="22" t="s">
        <v>7</v>
      </c>
      <c r="D16" s="15" t="s">
        <v>9</v>
      </c>
      <c r="E16" s="16" t="s">
        <v>10</v>
      </c>
      <c r="F16" s="21" t="s">
        <v>11</v>
      </c>
      <c r="G16" s="13" t="s">
        <v>8</v>
      </c>
      <c r="H16" s="22" t="s">
        <v>7</v>
      </c>
      <c r="I16" s="15" t="s">
        <v>9</v>
      </c>
      <c r="J16" s="16" t="s">
        <v>10</v>
      </c>
      <c r="K16" s="38" t="str">
        <f>[0]!NOM4</f>
        <v>DEBORD</v>
      </c>
      <c r="L16" s="13" t="s">
        <v>8</v>
      </c>
      <c r="M16" s="22" t="s">
        <v>7</v>
      </c>
      <c r="N16" s="15" t="s">
        <v>9</v>
      </c>
      <c r="O16" s="15" t="s">
        <v>10</v>
      </c>
      <c r="P16" s="20" t="s">
        <v>11</v>
      </c>
      <c r="Q16" s="15" t="s">
        <v>8</v>
      </c>
      <c r="R16" s="22" t="s">
        <v>7</v>
      </c>
      <c r="S16" s="15" t="s">
        <v>9</v>
      </c>
      <c r="T16" s="16" t="s">
        <v>10</v>
      </c>
      <c r="X16" s="67">
        <f t="shared" si="2"/>
        <v>1</v>
      </c>
      <c r="Y16" s="49">
        <f>K$28</f>
        <v>8</v>
      </c>
      <c r="Z16" s="50" t="str">
        <f>$L$29</f>
        <v>SOCRATE</v>
      </c>
      <c r="AA16" s="49">
        <f>$L$31</f>
        <v>0</v>
      </c>
      <c r="AB16" s="49">
        <f>$P$31</f>
        <v>0</v>
      </c>
      <c r="AC16" s="49">
        <f>$N$31</f>
        <v>0</v>
      </c>
      <c r="AD16" s="51">
        <f>$O$31</f>
      </c>
      <c r="AE16" s="50" t="str">
        <f>$Q$29</f>
        <v>NIETZCHE</v>
      </c>
      <c r="AF16" s="67">
        <f t="shared" si="3"/>
        <v>3</v>
      </c>
      <c r="AG16" s="47" t="str">
        <f>AH16&amp;4</f>
        <v>24</v>
      </c>
      <c r="AH16" s="59">
        <f t="shared" si="0"/>
        <v>2</v>
      </c>
      <c r="AI16" s="64">
        <f>Y$27</f>
        <v>9</v>
      </c>
      <c r="AJ16" s="65" t="str">
        <f>$G$36</f>
        <v>KANT</v>
      </c>
      <c r="AK16" s="64">
        <f>IF($G$38=0,"",$G$38)</f>
      </c>
      <c r="AL16" s="64">
        <f>IF($F$38=0,"",$F$38)</f>
      </c>
      <c r="AM16" s="64">
        <f>IF($I$38=0,"",$I$38)</f>
      </c>
      <c r="AN16" s="66">
        <f>$J$38</f>
      </c>
      <c r="AO16" s="65" t="str">
        <f>$B$36</f>
        <v>SOCRATE</v>
      </c>
      <c r="AP16" s="59">
        <f t="shared" si="1"/>
        <v>1</v>
      </c>
    </row>
    <row r="17" spans="1:42" ht="21" thickBot="1">
      <c r="A17" s="25"/>
      <c r="B17" s="209"/>
      <c r="C17" s="344">
        <f>IF(F17=0,"",B17/F17)</f>
      </c>
      <c r="D17" s="210"/>
      <c r="E17" s="17">
        <f>IF(F17=0,"",IF(B17&gt;G17,2,IF(B17=G17,1,0)))</f>
      </c>
      <c r="F17" s="211"/>
      <c r="G17" s="209"/>
      <c r="H17" s="344">
        <f>IF(F17=0,"",G17/F17)</f>
      </c>
      <c r="I17" s="210"/>
      <c r="J17" s="18">
        <f>IF(F17=0,"",IF(B17&gt;G17,0,IF(G17=B17,1,2)))</f>
      </c>
      <c r="K17" s="7"/>
      <c r="L17" s="209"/>
      <c r="M17" s="344">
        <f>IF(P17=0,"",L17/P17)</f>
      </c>
      <c r="N17" s="210"/>
      <c r="O17" s="17">
        <f>IF(P17=0,"",IF(L17&gt;Q17,2,IF(L17=Q17,1,0)))</f>
      </c>
      <c r="P17" s="211"/>
      <c r="Q17" s="209"/>
      <c r="R17" s="344">
        <f>IF(P17=0,"",Q17/P17)</f>
      </c>
      <c r="S17" s="210"/>
      <c r="T17" s="18">
        <f>IF(P17=0,"",IF(L17&gt;Q17,0,IF(Q17=L17,1,2)))</f>
      </c>
      <c r="X17" s="67">
        <f t="shared" si="2"/>
        <v>1</v>
      </c>
      <c r="Y17" s="49">
        <f>A$35</f>
        <v>9</v>
      </c>
      <c r="Z17" s="50" t="str">
        <f>$B$36</f>
        <v>SOCRATE</v>
      </c>
      <c r="AA17" s="49">
        <f>$B$38</f>
        <v>0</v>
      </c>
      <c r="AB17" s="49">
        <f>$F$38</f>
        <v>0</v>
      </c>
      <c r="AC17" s="49">
        <f>$D$38</f>
        <v>0</v>
      </c>
      <c r="AD17" s="51">
        <f>$E$38</f>
      </c>
      <c r="AE17" s="50" t="str">
        <f>$G$36</f>
        <v>KANT</v>
      </c>
      <c r="AF17" s="67">
        <f t="shared" si="3"/>
        <v>2</v>
      </c>
      <c r="AG17" s="47" t="str">
        <f>AH17&amp;1</f>
        <v>31</v>
      </c>
      <c r="AH17" s="70">
        <f t="shared" si="0"/>
        <v>3</v>
      </c>
      <c r="AI17" s="71">
        <f>Y$9</f>
        <v>1</v>
      </c>
      <c r="AJ17" s="72" t="str">
        <f>$B$8</f>
        <v>NIETZCHE</v>
      </c>
      <c r="AK17" s="71">
        <f>IF($B$10=0,"",$B$10)</f>
      </c>
      <c r="AL17" s="71">
        <f>IF($F$10=0,"",$F$10)</f>
      </c>
      <c r="AM17" s="71">
        <f>IF($D$10=0,"",$D$10)</f>
      </c>
      <c r="AN17" s="73">
        <f>$E$10</f>
      </c>
      <c r="AO17" s="72" t="str">
        <f>$G$8</f>
        <v>DEBORD</v>
      </c>
      <c r="AP17" s="70">
        <f t="shared" si="1"/>
        <v>4</v>
      </c>
    </row>
    <row r="18" spans="1:42" ht="15" customHeight="1" thickBot="1">
      <c r="A18" s="7"/>
      <c r="B18" s="7"/>
      <c r="C18" s="8"/>
      <c r="D18" s="7"/>
      <c r="E18" s="7"/>
      <c r="F18" s="7"/>
      <c r="G18" s="7"/>
      <c r="H18" s="8"/>
      <c r="I18" s="7"/>
      <c r="J18" s="7"/>
      <c r="K18" s="1"/>
      <c r="X18" s="69">
        <f t="shared" si="2"/>
        <v>4</v>
      </c>
      <c r="Y18" s="185">
        <f>K$35</f>
        <v>10</v>
      </c>
      <c r="Z18" s="186" t="str">
        <f>$L$36</f>
        <v>DEBORD</v>
      </c>
      <c r="AA18" s="185">
        <f>$L$38</f>
        <v>0</v>
      </c>
      <c r="AB18" s="49">
        <f>$P$38</f>
        <v>0</v>
      </c>
      <c r="AC18" s="49">
        <f>$N$38</f>
        <v>0</v>
      </c>
      <c r="AD18" s="51">
        <f>$O$38</f>
      </c>
      <c r="AE18" s="50" t="str">
        <f>$Q$36</f>
        <v>TORTAJADA</v>
      </c>
      <c r="AF18" s="69">
        <f t="shared" si="3"/>
        <v>5</v>
      </c>
      <c r="AG18" s="47" t="str">
        <f>AH18&amp;2</f>
        <v>32</v>
      </c>
      <c r="AH18" s="63">
        <f t="shared" si="0"/>
        <v>3</v>
      </c>
      <c r="AI18" s="64">
        <f>Y$22</f>
        <v>4</v>
      </c>
      <c r="AJ18" s="65" t="str">
        <f>$Q$15</f>
        <v>NIETZCHE</v>
      </c>
      <c r="AK18" s="64">
        <f>IF($Q$17=0,"",$Q$17)</f>
      </c>
      <c r="AL18" s="64">
        <f>IF($P$17=0,"",$P$17)</f>
      </c>
      <c r="AM18" s="64">
        <f>IF($S$17=0,"",$S$17)</f>
      </c>
      <c r="AN18" s="66">
        <f>$T$17</f>
      </c>
      <c r="AO18" s="65" t="str">
        <f>$L$15</f>
        <v>KANT</v>
      </c>
      <c r="AP18" s="63">
        <f t="shared" si="1"/>
        <v>2</v>
      </c>
    </row>
    <row r="19" spans="1:42" ht="27" customHeight="1" thickTop="1">
      <c r="A19" s="40"/>
      <c r="B19" s="41"/>
      <c r="C19" s="41"/>
      <c r="D19" s="41"/>
      <c r="E19" s="41"/>
      <c r="F19" s="41"/>
      <c r="G19" s="41"/>
      <c r="H19" s="41"/>
      <c r="I19" s="41"/>
      <c r="J19" s="182"/>
      <c r="K19" s="184" t="s">
        <v>63</v>
      </c>
      <c r="L19" s="249">
        <v>3</v>
      </c>
      <c r="M19" s="41"/>
      <c r="N19" s="41"/>
      <c r="O19" s="41"/>
      <c r="P19" s="41"/>
      <c r="Q19" s="41"/>
      <c r="R19" s="41"/>
      <c r="S19" s="41"/>
      <c r="T19" s="41"/>
      <c r="U19" s="41"/>
      <c r="X19" s="67">
        <f t="shared" si="2"/>
        <v>4</v>
      </c>
      <c r="Y19" s="49">
        <f>A$7</f>
        <v>1</v>
      </c>
      <c r="Z19" s="56" t="str">
        <f>$G$8</f>
        <v>DEBORD</v>
      </c>
      <c r="AA19" s="55">
        <f>$G$10</f>
        <v>0</v>
      </c>
      <c r="AB19" s="52">
        <f>$F$10</f>
        <v>0</v>
      </c>
      <c r="AC19" s="52">
        <f>$I$10</f>
        <v>0</v>
      </c>
      <c r="AD19" s="54">
        <f>$J$10</f>
      </c>
      <c r="AE19" s="53" t="str">
        <f>$B$8</f>
        <v>NIETZCHE</v>
      </c>
      <c r="AF19" s="67">
        <f t="shared" si="3"/>
        <v>3</v>
      </c>
      <c r="AG19" s="47" t="str">
        <f>AH19&amp;3</f>
        <v>33</v>
      </c>
      <c r="AH19" s="63">
        <f t="shared" si="0"/>
        <v>3</v>
      </c>
      <c r="AI19" s="64">
        <f>Y$13</f>
        <v>5</v>
      </c>
      <c r="AJ19" s="65" t="str">
        <f>$B$22</f>
        <v>NIETZCHE</v>
      </c>
      <c r="AK19" s="64">
        <f>IF($B$24=0,"",$B$24)</f>
      </c>
      <c r="AL19" s="64">
        <f>IF($F$24=0,"",$F$24)</f>
      </c>
      <c r="AM19" s="64">
        <f>IF($D$24=0,"",$D$24)</f>
      </c>
      <c r="AN19" s="66">
        <f>$E$24</f>
      </c>
      <c r="AO19" s="65" t="str">
        <f>$G$22</f>
        <v>TORTAJADA</v>
      </c>
      <c r="AP19" s="63">
        <f t="shared" si="1"/>
        <v>5</v>
      </c>
    </row>
    <row r="20" spans="1:42" ht="14.25" customHeight="1" thickBot="1">
      <c r="A20" s="1"/>
      <c r="B20" s="7"/>
      <c r="C20" s="8"/>
      <c r="D20" s="7"/>
      <c r="E20" s="7"/>
      <c r="F20" s="7"/>
      <c r="G20" s="7"/>
      <c r="H20" s="8"/>
      <c r="I20" s="7"/>
      <c r="J20" s="7"/>
      <c r="K20" s="7"/>
      <c r="X20" s="67">
        <f t="shared" si="2"/>
        <v>5</v>
      </c>
      <c r="Y20" s="49">
        <f>K$7</f>
        <v>2</v>
      </c>
      <c r="Z20" s="56" t="str">
        <f>$Q$8</f>
        <v>TORTAJADA</v>
      </c>
      <c r="AA20" s="55">
        <f>$Q$10</f>
        <v>0</v>
      </c>
      <c r="AB20" s="55">
        <f>$P$10</f>
        <v>0</v>
      </c>
      <c r="AC20" s="55">
        <f>$S$10</f>
        <v>0</v>
      </c>
      <c r="AD20" s="57">
        <f>$T$10</f>
      </c>
      <c r="AE20" s="56" t="str">
        <f>$L$8</f>
        <v>KANT</v>
      </c>
      <c r="AF20" s="67">
        <f t="shared" si="3"/>
        <v>2</v>
      </c>
      <c r="AG20" s="47" t="str">
        <f>AH20&amp;4</f>
        <v>34</v>
      </c>
      <c r="AH20" s="74">
        <f t="shared" si="0"/>
        <v>3</v>
      </c>
      <c r="AI20" s="75">
        <f>Y$26</f>
        <v>8</v>
      </c>
      <c r="AJ20" s="76" t="str">
        <f>$Q$29</f>
        <v>NIETZCHE</v>
      </c>
      <c r="AK20" s="75">
        <f>IF($Q$31=0,"",$Q$31)</f>
      </c>
      <c r="AL20" s="75">
        <f>IF($P$31=0,"",$P$31)</f>
      </c>
      <c r="AM20" s="75">
        <f>IF($S$31=0,"",$S$31)</f>
      </c>
      <c r="AN20" s="77">
        <f>$T$31</f>
      </c>
      <c r="AO20" s="76" t="str">
        <f>$L$29</f>
        <v>SOCRATE</v>
      </c>
      <c r="AP20" s="74">
        <f t="shared" si="1"/>
        <v>1</v>
      </c>
    </row>
    <row r="21" spans="1:42" ht="15.75" customHeight="1">
      <c r="A21" s="1">
        <f>IF(L19="","",IF(L19=1,1,IF(L19=2,3,IF(L19=3,5,IF(L19=4,7,IF(L19=5,9,""))))))</f>
        <v>5</v>
      </c>
      <c r="B21" s="9"/>
      <c r="C21" s="42" t="s">
        <v>82</v>
      </c>
      <c r="D21" s="10"/>
      <c r="E21" s="10"/>
      <c r="F21" s="207" t="s">
        <v>81</v>
      </c>
      <c r="G21" s="10"/>
      <c r="H21" s="24"/>
      <c r="I21" s="207" t="s">
        <v>76</v>
      </c>
      <c r="J21" s="12"/>
      <c r="K21" s="1">
        <f>IF(L19="","",A21+1)</f>
        <v>6</v>
      </c>
      <c r="L21" s="9"/>
      <c r="M21" s="42" t="s">
        <v>82</v>
      </c>
      <c r="N21" s="10"/>
      <c r="O21" s="10"/>
      <c r="P21" s="207" t="s">
        <v>90</v>
      </c>
      <c r="Q21" s="10"/>
      <c r="R21" s="24"/>
      <c r="S21" s="207" t="s">
        <v>86</v>
      </c>
      <c r="T21" s="12"/>
      <c r="X21" s="67">
        <f t="shared" si="2"/>
        <v>5</v>
      </c>
      <c r="Y21" s="49">
        <f>A$14</f>
        <v>3</v>
      </c>
      <c r="Z21" s="56" t="str">
        <f>$G$15</f>
        <v>TORTAJADA</v>
      </c>
      <c r="AA21" s="55">
        <f>$G$17</f>
        <v>0</v>
      </c>
      <c r="AB21" s="55">
        <f>$F$17</f>
        <v>0</v>
      </c>
      <c r="AC21" s="55">
        <f>$I$17</f>
        <v>0</v>
      </c>
      <c r="AD21" s="57">
        <f>$J$17</f>
      </c>
      <c r="AE21" s="56" t="str">
        <f>$B$15</f>
        <v>SOCRATE</v>
      </c>
      <c r="AF21" s="67">
        <f t="shared" si="3"/>
        <v>1</v>
      </c>
      <c r="AG21" s="47" t="str">
        <f>AH21&amp;1</f>
        <v>41</v>
      </c>
      <c r="AH21" s="59">
        <f t="shared" si="0"/>
        <v>4</v>
      </c>
      <c r="AI21" s="64">
        <f>Y$19</f>
        <v>1</v>
      </c>
      <c r="AJ21" s="65" t="str">
        <f>$G$8</f>
        <v>DEBORD</v>
      </c>
      <c r="AK21" s="64">
        <f>IF($G$10=0,"",$G$10)</f>
      </c>
      <c r="AL21" s="64">
        <f>IF($F$10=0,"",$F$10)</f>
      </c>
      <c r="AM21" s="64">
        <f>IF($I$10=0,"",$I$10)</f>
      </c>
      <c r="AN21" s="66">
        <f>$J$10</f>
      </c>
      <c r="AO21" s="65" t="str">
        <f>$B$8</f>
        <v>NIETZCHE</v>
      </c>
      <c r="AP21" s="59">
        <f t="shared" si="1"/>
        <v>3</v>
      </c>
    </row>
    <row r="22" spans="1:42" ht="21.75" customHeight="1">
      <c r="A22" s="1"/>
      <c r="B22" s="410" t="str">
        <f>[0]!NOM3</f>
        <v>NIETZCHE</v>
      </c>
      <c r="C22" s="411"/>
      <c r="D22" s="411"/>
      <c r="E22" s="412"/>
      <c r="F22" s="19"/>
      <c r="G22" s="410" t="str">
        <f>[0]!NOM5</f>
        <v>TORTAJADA</v>
      </c>
      <c r="H22" s="411"/>
      <c r="I22" s="411"/>
      <c r="J22" s="412"/>
      <c r="K22" s="39" t="s">
        <v>32</v>
      </c>
      <c r="L22" s="410" t="str">
        <f>[0]!NOM1</f>
        <v>SOCRATE</v>
      </c>
      <c r="M22" s="411"/>
      <c r="N22" s="411"/>
      <c r="O22" s="412"/>
      <c r="P22" s="19"/>
      <c r="Q22" s="410" t="str">
        <f>[0]!NOM4</f>
        <v>DEBORD</v>
      </c>
      <c r="R22" s="411"/>
      <c r="S22" s="411"/>
      <c r="T22" s="412"/>
      <c r="X22" s="67">
        <f t="shared" si="2"/>
        <v>3</v>
      </c>
      <c r="Y22" s="49">
        <f>K$14</f>
        <v>4</v>
      </c>
      <c r="Z22" s="56" t="str">
        <f>$Q$15</f>
        <v>NIETZCHE</v>
      </c>
      <c r="AA22" s="55">
        <f>$Q$17</f>
        <v>0</v>
      </c>
      <c r="AB22" s="55">
        <f>$P$17</f>
        <v>0</v>
      </c>
      <c r="AC22" s="55">
        <f>$S$17</f>
        <v>0</v>
      </c>
      <c r="AD22" s="57">
        <f>$T$17</f>
      </c>
      <c r="AE22" s="56" t="str">
        <f>$L$15</f>
        <v>KANT</v>
      </c>
      <c r="AF22" s="67">
        <f t="shared" si="3"/>
        <v>2</v>
      </c>
      <c r="AG22" s="47" t="str">
        <f>AH22&amp;2</f>
        <v>42</v>
      </c>
      <c r="AH22" s="59">
        <f t="shared" si="0"/>
        <v>4</v>
      </c>
      <c r="AI22" s="64">
        <f>Y$24</f>
        <v>6</v>
      </c>
      <c r="AJ22" s="65" t="str">
        <f>$Q$22</f>
        <v>DEBORD</v>
      </c>
      <c r="AK22" s="64">
        <f>IF($Q$24=0,"",$Q$24)</f>
      </c>
      <c r="AL22" s="64">
        <f>IF($P$24=0,"",$P$24)</f>
      </c>
      <c r="AM22" s="64">
        <f>IF($S$24=0,"",$S$24)</f>
      </c>
      <c r="AN22" s="66">
        <f>$T$24</f>
      </c>
      <c r="AO22" s="65" t="str">
        <f>$L$22</f>
        <v>SOCRATE</v>
      </c>
      <c r="AP22" s="63">
        <f t="shared" si="1"/>
        <v>1</v>
      </c>
    </row>
    <row r="23" spans="1:42" ht="15.75">
      <c r="A23" s="1"/>
      <c r="B23" s="13" t="s">
        <v>8</v>
      </c>
      <c r="C23" s="22" t="s">
        <v>7</v>
      </c>
      <c r="D23" s="15" t="s">
        <v>9</v>
      </c>
      <c r="E23" s="15" t="s">
        <v>10</v>
      </c>
      <c r="F23" s="20" t="s">
        <v>11</v>
      </c>
      <c r="G23" s="15" t="s">
        <v>8</v>
      </c>
      <c r="H23" s="22" t="s">
        <v>7</v>
      </c>
      <c r="I23" s="15" t="s">
        <v>9</v>
      </c>
      <c r="J23" s="16" t="s">
        <v>10</v>
      </c>
      <c r="K23" s="38" t="str">
        <f>[0]!NOM2</f>
        <v>KANT</v>
      </c>
      <c r="L23" s="13" t="s">
        <v>8</v>
      </c>
      <c r="M23" s="22" t="s">
        <v>7</v>
      </c>
      <c r="N23" s="15" t="s">
        <v>9</v>
      </c>
      <c r="O23" s="15" t="s">
        <v>10</v>
      </c>
      <c r="P23" s="20" t="s">
        <v>11</v>
      </c>
      <c r="Q23" s="15" t="s">
        <v>8</v>
      </c>
      <c r="R23" s="22" t="s">
        <v>7</v>
      </c>
      <c r="S23" s="15" t="s">
        <v>9</v>
      </c>
      <c r="T23" s="16" t="s">
        <v>10</v>
      </c>
      <c r="X23" s="67">
        <f t="shared" si="2"/>
        <v>5</v>
      </c>
      <c r="Y23" s="49">
        <f>A$21</f>
        <v>5</v>
      </c>
      <c r="Z23" s="56" t="str">
        <f>$G$22</f>
        <v>TORTAJADA</v>
      </c>
      <c r="AA23" s="55">
        <f>$G$24</f>
        <v>0</v>
      </c>
      <c r="AB23" s="55">
        <f>$F$24</f>
        <v>0</v>
      </c>
      <c r="AC23" s="55">
        <f>$I$24</f>
        <v>0</v>
      </c>
      <c r="AD23" s="57">
        <f>$J$24</f>
      </c>
      <c r="AE23" s="56" t="str">
        <f>$B$22</f>
        <v>NIETZCHE</v>
      </c>
      <c r="AF23" s="67">
        <f t="shared" si="3"/>
        <v>3</v>
      </c>
      <c r="AG23" s="47" t="str">
        <f>AH23&amp;3</f>
        <v>43</v>
      </c>
      <c r="AH23" s="59">
        <f t="shared" si="0"/>
        <v>4</v>
      </c>
      <c r="AI23" s="64">
        <f>Y$25</f>
        <v>7</v>
      </c>
      <c r="AJ23" s="65" t="str">
        <f>$G$29</f>
        <v>DEBORD</v>
      </c>
      <c r="AK23" s="64">
        <f>IF($G$31=0,"",$G$31)</f>
      </c>
      <c r="AL23" s="64">
        <f>IF($F$31=0,"",$F$31)</f>
      </c>
      <c r="AM23" s="64">
        <f>IF($I$31=0,"",$I$31)</f>
      </c>
      <c r="AN23" s="66">
        <f>$J$31</f>
      </c>
      <c r="AO23" s="65" t="str">
        <f>$B$29</f>
        <v>KANT</v>
      </c>
      <c r="AP23" s="59">
        <f t="shared" si="1"/>
        <v>2</v>
      </c>
    </row>
    <row r="24" spans="1:42" ht="19.5" customHeight="1" thickBot="1">
      <c r="A24" s="1"/>
      <c r="B24" s="209"/>
      <c r="C24" s="344">
        <f>IF(F24=0,"",B24/F24)</f>
      </c>
      <c r="D24" s="210"/>
      <c r="E24" s="17">
        <f>IF(F24=0,"",IF(B24&gt;G24,2,IF(B24=G24,1,0)))</f>
      </c>
      <c r="F24" s="211"/>
      <c r="G24" s="209"/>
      <c r="H24" s="344">
        <f>IF(F24=0,"",G24/F24)</f>
      </c>
      <c r="I24" s="210"/>
      <c r="J24" s="18">
        <f>IF(F24=0,"",IF(B24&gt;G24,0,IF(G24=B24,1,2)))</f>
      </c>
      <c r="K24" s="7"/>
      <c r="L24" s="209"/>
      <c r="M24" s="344">
        <f>IF(P24=0,"",L24/P24)</f>
      </c>
      <c r="N24" s="210"/>
      <c r="O24" s="17">
        <f>IF(P24=0,"",IF(L24&gt;Q24,2,IF(L24=Q24,1,0)))</f>
      </c>
      <c r="P24" s="211"/>
      <c r="Q24" s="209"/>
      <c r="R24" s="344">
        <f>IF(P24=0,"",Q24/P24)</f>
      </c>
      <c r="S24" s="210"/>
      <c r="T24" s="18">
        <f>IF(P24=0,"",IF(L24&gt;Q24,0,IF(Q24=L24,1,2)))</f>
      </c>
      <c r="X24" s="67">
        <f t="shared" si="2"/>
        <v>4</v>
      </c>
      <c r="Y24" s="49">
        <f>K$21</f>
        <v>6</v>
      </c>
      <c r="Z24" s="56" t="str">
        <f>$Q$22</f>
        <v>DEBORD</v>
      </c>
      <c r="AA24" s="55">
        <f>$Q$24</f>
        <v>0</v>
      </c>
      <c r="AB24" s="55">
        <f>$P$24</f>
        <v>0</v>
      </c>
      <c r="AC24" s="55">
        <f>$S$24</f>
        <v>0</v>
      </c>
      <c r="AD24" s="57">
        <f>$T$24</f>
      </c>
      <c r="AE24" s="56" t="str">
        <f>$L$22</f>
        <v>SOCRATE</v>
      </c>
      <c r="AF24" s="67">
        <f t="shared" si="3"/>
        <v>1</v>
      </c>
      <c r="AG24" s="47" t="str">
        <f>AH24&amp;4</f>
        <v>44</v>
      </c>
      <c r="AH24" s="59">
        <f t="shared" si="0"/>
        <v>4</v>
      </c>
      <c r="AI24" s="60">
        <f>Y$18</f>
        <v>10</v>
      </c>
      <c r="AJ24" s="61" t="str">
        <f>$L$36</f>
        <v>DEBORD</v>
      </c>
      <c r="AK24" s="60">
        <f>IF($L$38=0,"",$L$38)</f>
      </c>
      <c r="AL24" s="60">
        <f>IF($P$38=0,"",$P$38)</f>
      </c>
      <c r="AM24" s="60">
        <f>IF($N$38=0,"",$N$38)</f>
      </c>
      <c r="AN24" s="62">
        <f>$O$38</f>
      </c>
      <c r="AO24" s="61" t="str">
        <f>$Q$36</f>
        <v>TORTAJADA</v>
      </c>
      <c r="AP24" s="63">
        <f t="shared" si="1"/>
        <v>5</v>
      </c>
    </row>
    <row r="25" spans="1:42" ht="16.5" thickBot="1">
      <c r="A25" s="1"/>
      <c r="K25" s="7"/>
      <c r="X25" s="67">
        <f t="shared" si="2"/>
        <v>4</v>
      </c>
      <c r="Y25" s="49">
        <f>A$28</f>
        <v>7</v>
      </c>
      <c r="Z25" s="56" t="str">
        <f>$G$29</f>
        <v>DEBORD</v>
      </c>
      <c r="AA25" s="55">
        <f>$G$31</f>
        <v>0</v>
      </c>
      <c r="AB25" s="55">
        <f>$F$31</f>
        <v>0</v>
      </c>
      <c r="AC25" s="55">
        <f>$I$31</f>
        <v>0</v>
      </c>
      <c r="AD25" s="57">
        <f>$J$31</f>
      </c>
      <c r="AE25" s="56" t="str">
        <f>$B$29</f>
        <v>KANT</v>
      </c>
      <c r="AF25" s="67">
        <f t="shared" si="3"/>
        <v>2</v>
      </c>
      <c r="AG25" s="47" t="str">
        <f>AH25&amp;1</f>
        <v>51</v>
      </c>
      <c r="AH25" s="70">
        <f t="shared" si="0"/>
        <v>5</v>
      </c>
      <c r="AI25" s="71">
        <f>Y$20</f>
        <v>2</v>
      </c>
      <c r="AJ25" s="72" t="str">
        <f>$Q$8</f>
        <v>TORTAJADA</v>
      </c>
      <c r="AK25" s="71">
        <f>IF($Q$10=0,"",$Q$10)</f>
      </c>
      <c r="AL25" s="71">
        <f>IF($P$10=0,"",$P$10)</f>
      </c>
      <c r="AM25" s="71">
        <f>IF($S$10=0,"",$S$10)</f>
      </c>
      <c r="AN25" s="73">
        <f>$T$10</f>
      </c>
      <c r="AO25" s="72" t="str">
        <f>$L$8</f>
        <v>KANT</v>
      </c>
      <c r="AP25" s="70">
        <f t="shared" si="1"/>
        <v>2</v>
      </c>
    </row>
    <row r="26" spans="1:42" ht="27" customHeight="1" thickTop="1">
      <c r="A26" s="40"/>
      <c r="B26" s="204" t="s">
        <v>70</v>
      </c>
      <c r="C26" s="41"/>
      <c r="D26" s="41"/>
      <c r="E26" s="41"/>
      <c r="F26" s="41"/>
      <c r="G26" s="41"/>
      <c r="H26" s="41"/>
      <c r="I26" s="41"/>
      <c r="J26" s="182"/>
      <c r="K26" s="184" t="s">
        <v>63</v>
      </c>
      <c r="L26" s="247">
        <v>4</v>
      </c>
      <c r="M26" s="204" t="s">
        <v>73</v>
      </c>
      <c r="N26" s="41"/>
      <c r="O26" s="41"/>
      <c r="P26" s="41"/>
      <c r="Q26" s="41"/>
      <c r="R26" s="41"/>
      <c r="S26" s="41"/>
      <c r="T26" s="41"/>
      <c r="U26" s="41"/>
      <c r="X26" s="67">
        <f t="shared" si="2"/>
        <v>3</v>
      </c>
      <c r="Y26" s="49">
        <f>K$28</f>
        <v>8</v>
      </c>
      <c r="Z26" s="56" t="str">
        <f>$Q$29</f>
        <v>NIETZCHE</v>
      </c>
      <c r="AA26" s="55">
        <f>$Q$31</f>
        <v>0</v>
      </c>
      <c r="AB26" s="55">
        <f>$P$31</f>
        <v>0</v>
      </c>
      <c r="AC26" s="55">
        <f>$S$31</f>
        <v>0</v>
      </c>
      <c r="AD26" s="57">
        <f>$T$31</f>
      </c>
      <c r="AE26" s="56" t="str">
        <f>$L$29</f>
        <v>SOCRATE</v>
      </c>
      <c r="AF26" s="67">
        <f t="shared" si="3"/>
        <v>1</v>
      </c>
      <c r="AG26" s="47" t="str">
        <f>AH26&amp;2</f>
        <v>52</v>
      </c>
      <c r="AH26" s="63">
        <f t="shared" si="0"/>
        <v>5</v>
      </c>
      <c r="AI26" s="64">
        <f>Y$21</f>
        <v>3</v>
      </c>
      <c r="AJ26" s="65" t="str">
        <f>$G$15</f>
        <v>TORTAJADA</v>
      </c>
      <c r="AK26" s="64">
        <f>IF($G$17=0,"",$G$17)</f>
      </c>
      <c r="AL26" s="64">
        <f>IF($F$17=0,"",$F$17)</f>
      </c>
      <c r="AM26" s="64">
        <f>IF($I$17=0,"",$I$17)</f>
      </c>
      <c r="AN26" s="66">
        <f>$J$17</f>
      </c>
      <c r="AO26" s="65" t="str">
        <f>$B$15</f>
        <v>SOCRATE</v>
      </c>
      <c r="AP26" s="63">
        <f t="shared" si="1"/>
        <v>1</v>
      </c>
    </row>
    <row r="27" spans="1:42" ht="14.25" customHeight="1" thickBot="1">
      <c r="A27" s="1"/>
      <c r="K27" s="7"/>
      <c r="X27" s="67">
        <f t="shared" si="2"/>
        <v>2</v>
      </c>
      <c r="Y27" s="49">
        <f>A$35</f>
        <v>9</v>
      </c>
      <c r="Z27" s="56" t="str">
        <f>$G$36</f>
        <v>KANT</v>
      </c>
      <c r="AA27" s="55">
        <f>$G$38</f>
        <v>0</v>
      </c>
      <c r="AB27" s="55">
        <f>$F$38</f>
        <v>0</v>
      </c>
      <c r="AC27" s="55">
        <f>$I$38</f>
        <v>0</v>
      </c>
      <c r="AD27" s="57">
        <f>$J$38</f>
      </c>
      <c r="AE27" s="56" t="str">
        <f>$B$36</f>
        <v>SOCRATE</v>
      </c>
      <c r="AF27" s="67">
        <f t="shared" si="3"/>
        <v>1</v>
      </c>
      <c r="AG27" s="47" t="str">
        <f>AH27&amp;3</f>
        <v>53</v>
      </c>
      <c r="AH27" s="63">
        <f t="shared" si="0"/>
        <v>5</v>
      </c>
      <c r="AI27" s="64">
        <f>Y$23</f>
        <v>5</v>
      </c>
      <c r="AJ27" s="65" t="str">
        <f>$G$22</f>
        <v>TORTAJADA</v>
      </c>
      <c r="AK27" s="64">
        <f>IF($G$24=0,"",$G$24)</f>
      </c>
      <c r="AL27" s="64">
        <f>IF($F$24=0,"",$F$24)</f>
      </c>
      <c r="AM27" s="64">
        <f>IF($I$24=0,"",$I$24)</f>
      </c>
      <c r="AN27" s="66">
        <f>$J$24</f>
      </c>
      <c r="AO27" s="65" t="str">
        <f>$B$22</f>
        <v>NIETZCHE</v>
      </c>
      <c r="AP27" s="63">
        <f t="shared" si="1"/>
        <v>3</v>
      </c>
    </row>
    <row r="28" spans="1:42" ht="15.75">
      <c r="A28" s="1">
        <f>IF(L26="","",IF(L26=4,7,IF(L26=5,9)))</f>
        <v>7</v>
      </c>
      <c r="B28" s="9"/>
      <c r="C28" s="42" t="s">
        <v>80</v>
      </c>
      <c r="D28" s="10"/>
      <c r="E28" s="10"/>
      <c r="F28" s="208" t="s">
        <v>79</v>
      </c>
      <c r="G28" s="10"/>
      <c r="H28" s="24"/>
      <c r="I28" s="207" t="s">
        <v>76</v>
      </c>
      <c r="J28" s="12"/>
      <c r="K28" s="1">
        <f>IF(L26="","",A28+1)</f>
        <v>8</v>
      </c>
      <c r="L28" s="9"/>
      <c r="M28" s="42" t="s">
        <v>80</v>
      </c>
      <c r="N28" s="10"/>
      <c r="O28" s="10"/>
      <c r="P28" s="207" t="s">
        <v>89</v>
      </c>
      <c r="Q28" s="10"/>
      <c r="R28" s="24"/>
      <c r="S28" s="207" t="s">
        <v>86</v>
      </c>
      <c r="T28" s="12"/>
      <c r="X28" s="67">
        <f t="shared" si="2"/>
        <v>5</v>
      </c>
      <c r="Y28" s="49">
        <f>K$35</f>
        <v>10</v>
      </c>
      <c r="Z28" s="56" t="str">
        <f>$Q$36</f>
        <v>TORTAJADA</v>
      </c>
      <c r="AA28" s="55">
        <f>$Q$38</f>
        <v>0</v>
      </c>
      <c r="AB28" s="55">
        <f>$P$38</f>
        <v>0</v>
      </c>
      <c r="AC28" s="55">
        <f>$S$38</f>
        <v>0</v>
      </c>
      <c r="AD28" s="57">
        <f>$T$38</f>
      </c>
      <c r="AE28" s="56" t="str">
        <f>$L$36</f>
        <v>DEBORD</v>
      </c>
      <c r="AF28" s="67">
        <f t="shared" si="3"/>
        <v>4</v>
      </c>
      <c r="AG28" s="47" t="str">
        <f>AH28&amp;4</f>
        <v>54</v>
      </c>
      <c r="AH28" s="74">
        <f t="shared" si="0"/>
        <v>5</v>
      </c>
      <c r="AI28" s="75">
        <f>Y$28</f>
        <v>10</v>
      </c>
      <c r="AJ28" s="76" t="str">
        <f>$Q$36</f>
        <v>TORTAJADA</v>
      </c>
      <c r="AK28" s="75">
        <f>IF($Q$38=0,"",$Q$38)</f>
      </c>
      <c r="AL28" s="75">
        <f>IF($P$38=0,"",$P$38)</f>
      </c>
      <c r="AM28" s="75">
        <f>IF($S$38=0,"",$S$38)</f>
      </c>
      <c r="AN28" s="77">
        <f>$T$38</f>
      </c>
      <c r="AO28" s="76" t="str">
        <f>$L$36</f>
        <v>DEBORD</v>
      </c>
      <c r="AP28" s="74">
        <f t="shared" si="1"/>
        <v>4</v>
      </c>
    </row>
    <row r="29" spans="1:20" ht="24" customHeight="1">
      <c r="A29" s="7"/>
      <c r="B29" s="410" t="str">
        <f>[0]!NOM2</f>
        <v>KANT</v>
      </c>
      <c r="C29" s="411"/>
      <c r="D29" s="411"/>
      <c r="E29" s="412"/>
      <c r="F29" s="19"/>
      <c r="G29" s="410" t="str">
        <f>[0]!NOM4</f>
        <v>DEBORD</v>
      </c>
      <c r="H29" s="411"/>
      <c r="I29" s="411"/>
      <c r="J29" s="412"/>
      <c r="K29" s="39" t="s">
        <v>32</v>
      </c>
      <c r="L29" s="410" t="str">
        <f>[0]!NOM1</f>
        <v>SOCRATE</v>
      </c>
      <c r="M29" s="411"/>
      <c r="N29" s="411"/>
      <c r="O29" s="412"/>
      <c r="P29" s="19"/>
      <c r="Q29" s="410" t="str">
        <f>[0]!NOM3</f>
        <v>NIETZCHE</v>
      </c>
      <c r="R29" s="411"/>
      <c r="S29" s="411"/>
      <c r="T29" s="412"/>
    </row>
    <row r="30" spans="1:20" ht="15">
      <c r="A30" s="7"/>
      <c r="B30" s="13" t="s">
        <v>8</v>
      </c>
      <c r="C30" s="22" t="s">
        <v>7</v>
      </c>
      <c r="D30" s="15" t="s">
        <v>9</v>
      </c>
      <c r="E30" s="15" t="s">
        <v>10</v>
      </c>
      <c r="F30" s="20" t="s">
        <v>11</v>
      </c>
      <c r="G30" s="15" t="s">
        <v>8</v>
      </c>
      <c r="H30" s="22" t="s">
        <v>7</v>
      </c>
      <c r="I30" s="15" t="s">
        <v>9</v>
      </c>
      <c r="J30" s="16" t="s">
        <v>10</v>
      </c>
      <c r="K30" s="38" t="str">
        <f>[0]!NOM5</f>
        <v>TORTAJADA</v>
      </c>
      <c r="L30" s="13" t="s">
        <v>8</v>
      </c>
      <c r="M30" s="22" t="s">
        <v>7</v>
      </c>
      <c r="N30" s="15" t="s">
        <v>9</v>
      </c>
      <c r="O30" s="15" t="s">
        <v>10</v>
      </c>
      <c r="P30" s="20" t="s">
        <v>11</v>
      </c>
      <c r="Q30" s="15" t="s">
        <v>8</v>
      </c>
      <c r="R30" s="22" t="s">
        <v>7</v>
      </c>
      <c r="S30" s="15" t="s">
        <v>9</v>
      </c>
      <c r="T30" s="16" t="s">
        <v>10</v>
      </c>
    </row>
    <row r="31" spans="1:20" ht="20.25" customHeight="1" thickBot="1">
      <c r="A31" s="1"/>
      <c r="B31" s="209"/>
      <c r="C31" s="344">
        <f>IF(F31=0,"",B31/F31)</f>
      </c>
      <c r="D31" s="210"/>
      <c r="E31" s="17">
        <f>IF(F31=0,"",IF(B31&gt;G31,2,IF(B31=G31,1,0)))</f>
      </c>
      <c r="F31" s="211"/>
      <c r="G31" s="209"/>
      <c r="H31" s="344">
        <f>IF(F31=0,"",G31/F31)</f>
      </c>
      <c r="I31" s="210"/>
      <c r="J31" s="18">
        <f>IF(F31=0,"",IF(B31&gt;G31,0,IF(G31=B31,1,2)))</f>
      </c>
      <c r="K31" s="7"/>
      <c r="L31" s="209"/>
      <c r="M31" s="344">
        <f>IF(P31=0,"",L31/P31)</f>
      </c>
      <c r="N31" s="210"/>
      <c r="O31" s="17">
        <f>IF(P31=0,"",IF(L31&gt;Q31,2,IF(L31=Q31,1,0)))</f>
      </c>
      <c r="P31" s="211"/>
      <c r="Q31" s="209"/>
      <c r="R31" s="344">
        <f>IF(P31=0,"",Q31/P31)</f>
      </c>
      <c r="S31" s="210"/>
      <c r="T31" s="18">
        <f>IF(P31=0,"",IF(L31&gt;Q31,0,IF(Q31=L31,1,2)))</f>
      </c>
    </row>
    <row r="32" spans="1:11" ht="15.75" thickBot="1">
      <c r="A32" s="1"/>
      <c r="K32" s="7"/>
    </row>
    <row r="33" spans="1:21" ht="26.25" customHeight="1" thickTop="1">
      <c r="A33" s="40"/>
      <c r="B33" s="41"/>
      <c r="C33" s="41"/>
      <c r="D33" s="41"/>
      <c r="E33" s="41"/>
      <c r="F33" s="41"/>
      <c r="G33" s="41"/>
      <c r="H33" s="41"/>
      <c r="I33" s="41"/>
      <c r="J33" s="182"/>
      <c r="K33" s="184" t="s">
        <v>63</v>
      </c>
      <c r="L33" s="250">
        <f>IF(L26=4,5,4)</f>
        <v>5</v>
      </c>
      <c r="M33" s="41"/>
      <c r="N33" s="41"/>
      <c r="O33" s="41"/>
      <c r="P33" s="41"/>
      <c r="Q33" s="41"/>
      <c r="R33" s="41"/>
      <c r="S33" s="41"/>
      <c r="T33" s="41"/>
      <c r="U33" s="41"/>
    </row>
    <row r="34" spans="1:11" ht="14.25" customHeight="1" thickBot="1">
      <c r="A34" s="1"/>
      <c r="K34" s="7"/>
    </row>
    <row r="35" spans="1:20" ht="15">
      <c r="A35" s="1">
        <f>IF(L33="","",IF(L33=4,7,IF(L33=5,9)))</f>
        <v>9</v>
      </c>
      <c r="B35" s="9"/>
      <c r="C35" s="42" t="s">
        <v>78</v>
      </c>
      <c r="D35" s="10"/>
      <c r="E35" s="10"/>
      <c r="F35" s="208" t="s">
        <v>77</v>
      </c>
      <c r="G35" s="10"/>
      <c r="H35" s="24"/>
      <c r="I35" s="207" t="s">
        <v>76</v>
      </c>
      <c r="J35" s="12"/>
      <c r="K35" s="1">
        <f>IF(L33="","",A35+1)</f>
        <v>10</v>
      </c>
      <c r="L35" s="9"/>
      <c r="M35" s="42" t="s">
        <v>78</v>
      </c>
      <c r="N35" s="10"/>
      <c r="O35" s="10"/>
      <c r="P35" s="207" t="s">
        <v>88</v>
      </c>
      <c r="Q35" s="10"/>
      <c r="R35" s="24"/>
      <c r="S35" s="207" t="s">
        <v>86</v>
      </c>
      <c r="T35" s="12"/>
    </row>
    <row r="36" spans="1:20" ht="23.25">
      <c r="A36" s="1"/>
      <c r="B36" s="410" t="str">
        <f>[0]!NOM1</f>
        <v>SOCRATE</v>
      </c>
      <c r="C36" s="411"/>
      <c r="D36" s="411"/>
      <c r="E36" s="412"/>
      <c r="F36" s="19"/>
      <c r="G36" s="410" t="str">
        <f>[0]!NOM2</f>
        <v>KANT</v>
      </c>
      <c r="H36" s="411"/>
      <c r="I36" s="411"/>
      <c r="J36" s="412"/>
      <c r="K36" s="39" t="s">
        <v>32</v>
      </c>
      <c r="L36" s="410" t="str">
        <f>[0]!NOM4</f>
        <v>DEBORD</v>
      </c>
      <c r="M36" s="411"/>
      <c r="N36" s="411"/>
      <c r="O36" s="412"/>
      <c r="P36" s="19"/>
      <c r="Q36" s="410" t="str">
        <f>[0]!NOM5</f>
        <v>TORTAJADA</v>
      </c>
      <c r="R36" s="411"/>
      <c r="S36" s="411"/>
      <c r="T36" s="412"/>
    </row>
    <row r="37" spans="1:20" ht="23.25" customHeight="1">
      <c r="A37" s="1"/>
      <c r="B37" s="13" t="s">
        <v>8</v>
      </c>
      <c r="C37" s="22" t="s">
        <v>7</v>
      </c>
      <c r="D37" s="15" t="s">
        <v>9</v>
      </c>
      <c r="E37" s="15" t="s">
        <v>10</v>
      </c>
      <c r="F37" s="20" t="s">
        <v>11</v>
      </c>
      <c r="G37" s="15" t="s">
        <v>8</v>
      </c>
      <c r="H37" s="22" t="s">
        <v>7</v>
      </c>
      <c r="I37" s="15" t="s">
        <v>9</v>
      </c>
      <c r="J37" s="16" t="s">
        <v>10</v>
      </c>
      <c r="K37" s="38" t="str">
        <f>[0]!NOM3</f>
        <v>NIETZCHE</v>
      </c>
      <c r="L37" s="13" t="s">
        <v>8</v>
      </c>
      <c r="M37" s="22" t="s">
        <v>7</v>
      </c>
      <c r="N37" s="15" t="s">
        <v>9</v>
      </c>
      <c r="O37" s="15" t="s">
        <v>10</v>
      </c>
      <c r="P37" s="20" t="s">
        <v>11</v>
      </c>
      <c r="Q37" s="15" t="s">
        <v>8</v>
      </c>
      <c r="R37" s="22" t="s">
        <v>7</v>
      </c>
      <c r="S37" s="15" t="s">
        <v>9</v>
      </c>
      <c r="T37" s="16" t="s">
        <v>10</v>
      </c>
    </row>
    <row r="38" spans="1:20" ht="20.25" customHeight="1" thickBot="1">
      <c r="A38" s="1"/>
      <c r="B38" s="209"/>
      <c r="C38" s="344">
        <f>IF(F38=0,"",B38/F38)</f>
      </c>
      <c r="D38" s="210"/>
      <c r="E38" s="17">
        <f>IF(F38=0,"",IF(B38&gt;G38,2,IF(B38=G38,1,0)))</f>
      </c>
      <c r="F38" s="211"/>
      <c r="G38" s="209"/>
      <c r="H38" s="344">
        <f>IF(F38=0,"",G38/F38)</f>
      </c>
      <c r="I38" s="210"/>
      <c r="J38" s="18">
        <f>IF(F38=0,"",IF(B38&gt;G38,0,IF(G38=B38,1,2)))</f>
      </c>
      <c r="K38" s="7"/>
      <c r="L38" s="209"/>
      <c r="M38" s="344">
        <f>IF(P38=0,"",L38/P38)</f>
      </c>
      <c r="N38" s="210"/>
      <c r="O38" s="17">
        <f>IF(P38=0,"",IF(L38&gt;Q38,2,IF(L38=Q38,1,0)))</f>
      </c>
      <c r="P38" s="211"/>
      <c r="Q38" s="209"/>
      <c r="R38" s="344">
        <f>IF(P38=0,"",Q38/P38)</f>
      </c>
      <c r="S38" s="210"/>
      <c r="T38" s="18">
        <f>IF(P38=0,"",IF(L38&gt;Q38,0,IF(Q38=L38,1,2)))</f>
      </c>
    </row>
    <row r="39" spans="1:11" ht="22.5" customHeight="1">
      <c r="A39" s="1"/>
      <c r="K39" s="7"/>
    </row>
    <row r="40" spans="1:11" ht="15">
      <c r="A40" s="1"/>
      <c r="B40" s="7"/>
      <c r="C40" s="7"/>
      <c r="D40" s="7"/>
      <c r="E40" s="7"/>
      <c r="F40" s="7"/>
      <c r="G40" s="7"/>
      <c r="H40" s="8"/>
      <c r="I40" s="7"/>
      <c r="J40" s="7"/>
      <c r="K40" s="1"/>
    </row>
    <row r="41" spans="1:11" ht="15">
      <c r="A41" s="1"/>
      <c r="B41" s="1"/>
      <c r="C41" s="1"/>
      <c r="D41" s="1"/>
      <c r="E41" s="1"/>
      <c r="F41" s="1"/>
      <c r="G41" s="1"/>
      <c r="H41" s="2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2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</row>
    <row r="45" spans="1:11" ht="27" customHeight="1">
      <c r="A45" s="1"/>
      <c r="B45" s="1"/>
      <c r="C45" s="1"/>
      <c r="D45" s="1"/>
      <c r="E45" s="1"/>
      <c r="F45" s="1"/>
      <c r="G45" s="1"/>
      <c r="H45" s="2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2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2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2"/>
      <c r="I49" s="1"/>
      <c r="J49" s="1"/>
      <c r="K49" s="1"/>
    </row>
    <row r="50" spans="1:11" ht="27.75" customHeight="1">
      <c r="A50" s="1"/>
      <c r="B50" s="1"/>
      <c r="C50" s="1"/>
      <c r="D50" s="1"/>
      <c r="E50" s="1"/>
      <c r="F50" s="1"/>
      <c r="G50" s="1"/>
      <c r="H50" s="2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2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2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2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2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2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2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2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2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2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2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2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2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2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2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2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2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 sheet="1" objects="1" scenarios="1"/>
  <mergeCells count="28">
    <mergeCell ref="L8:O8"/>
    <mergeCell ref="Q8:T8"/>
    <mergeCell ref="B8:E8"/>
    <mergeCell ref="G8:J8"/>
    <mergeCell ref="B22:E22"/>
    <mergeCell ref="G22:J22"/>
    <mergeCell ref="G36:J36"/>
    <mergeCell ref="Q15:T15"/>
    <mergeCell ref="B15:E15"/>
    <mergeCell ref="G15:J15"/>
    <mergeCell ref="L15:O15"/>
    <mergeCell ref="B29:E29"/>
    <mergeCell ref="G29:J29"/>
    <mergeCell ref="B36:E36"/>
    <mergeCell ref="L36:O36"/>
    <mergeCell ref="Q36:T36"/>
    <mergeCell ref="L22:O22"/>
    <mergeCell ref="L29:O29"/>
    <mergeCell ref="Q22:T22"/>
    <mergeCell ref="Q29:T29"/>
    <mergeCell ref="A2:A4"/>
    <mergeCell ref="A1:U1"/>
    <mergeCell ref="K2:T2"/>
    <mergeCell ref="P3:Q3"/>
    <mergeCell ref="N3:O3"/>
    <mergeCell ref="L3:M3"/>
    <mergeCell ref="R3:S3"/>
    <mergeCell ref="U2:U4"/>
  </mergeCells>
  <conditionalFormatting sqref="B10 D10 F10:G10 I10 L10 N10 P10:Q10 S10 L17 N17 P17:Q17 S17 I38 B17 F17:G17 I17 B24 D24 F24:G24 I24 L24 N24 P24:Q24 S24 L31 N31 P31:Q31 S31 L38 N38 P38:Q38 S38 B31 D31 F31:G31 I31 B38 D38 F38:G38 D17">
    <cfRule type="cellIs" priority="1" dxfId="7" operator="equal" stopIfTrue="1">
      <formula>$A$5</formula>
    </cfRule>
  </conditionalFormatting>
  <dataValidations count="4">
    <dataValidation type="whole" allowBlank="1" showInputMessage="1" showErrorMessage="1" promptTitle="Indiquer ici le numéro ?" prompt="du tour de jeu ( 4 ou 5)" sqref="L26">
      <formula1>4</formula1>
      <formula2>5</formula2>
    </dataValidation>
    <dataValidation allowBlank="1" showInputMessage="1" showErrorMessage="1" prompt="points" sqref="B10 G10 L10 Q10 Q17 L17 G17 G31 B24 G24 L24 Q24 Q31 Q38 L31 L38 G38 B38 B31 B17"/>
    <dataValidation allowBlank="1" showInputMessage="1" showErrorMessage="1" prompt="série" sqref="D10 I10 N10 S10 S17 N17 I17 D38 D24 I24 N24 S24 S31 S38 N31 N38 I38 I31 D31 D17"/>
    <dataValidation allowBlank="1" showInputMessage="1" showErrorMessage="1" prompt="reprises" sqref="F10 P10 P17 F17 P24 P31 F24 F31 F38 P38"/>
  </dataValidations>
  <printOptions horizontalCentered="1" verticalCentered="1"/>
  <pageMargins left="0.11811023622047245" right="0.07874015748031496" top="0.15748031496062992" bottom="0.2755905511811024" header="0" footer="0"/>
  <pageSetup horizontalDpi="300" verticalDpi="300" orientation="landscape" paperSize="9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3:AE45"/>
  <sheetViews>
    <sheetView showGridLines="0" tabSelected="1" showOutlineSymbols="0" zoomScale="75" zoomScaleNormal="75" zoomScalePageLayoutView="0" workbookViewId="0" topLeftCell="A1">
      <selection activeCell="S7" sqref="S7"/>
    </sheetView>
  </sheetViews>
  <sheetFormatPr defaultColWidth="9.6640625" defaultRowHeight="15"/>
  <cols>
    <col min="1" max="1" width="1.88671875" style="0" customWidth="1"/>
    <col min="2" max="2" width="16.3359375" style="0" customWidth="1"/>
    <col min="3" max="3" width="7.6640625" style="0" customWidth="1"/>
    <col min="4" max="4" width="3.6640625" style="0" customWidth="1"/>
    <col min="5" max="6" width="7.6640625" style="0" customWidth="1"/>
    <col min="7" max="7" width="3.6640625" style="0" customWidth="1"/>
    <col min="8" max="9" width="7.6640625" style="0" customWidth="1"/>
    <col min="10" max="10" width="3.6640625" style="0" customWidth="1"/>
    <col min="11" max="12" width="7.6640625" style="0" customWidth="1"/>
    <col min="13" max="13" width="3.6640625" style="0" customWidth="1"/>
    <col min="14" max="15" width="7.6640625" style="0" customWidth="1"/>
    <col min="16" max="16" width="3.6640625" style="0" customWidth="1"/>
    <col min="17" max="17" width="7.6640625" style="0" customWidth="1"/>
    <col min="18" max="18" width="2.77734375" style="0" customWidth="1"/>
    <col min="19" max="19" width="6.3359375" style="0" bestFit="1" customWidth="1"/>
    <col min="20" max="20" width="7.6640625" style="0" customWidth="1"/>
    <col min="21" max="21" width="6.99609375" style="0" customWidth="1"/>
    <col min="22" max="22" width="6.99609375" style="0" bestFit="1" customWidth="1"/>
    <col min="23" max="23" width="11.6640625" style="0" bestFit="1" customWidth="1"/>
    <col min="24" max="24" width="6.77734375" style="0" bestFit="1" customWidth="1"/>
    <col min="25" max="25" width="10.3359375" style="0" bestFit="1" customWidth="1"/>
    <col min="26" max="26" width="10.3359375" style="0" customWidth="1"/>
    <col min="27" max="27" width="10.3359375" style="0" bestFit="1" customWidth="1"/>
  </cols>
  <sheetData>
    <row r="1" ht="9" customHeight="1"/>
    <row r="2" ht="6.75" customHeight="1" thickBot="1"/>
    <row r="3" spans="1:20" ht="42" customHeight="1" thickTop="1">
      <c r="A3" s="1"/>
      <c r="C3" s="432" t="str">
        <f>lieue</f>
        <v>Billard Club Ruthénois</v>
      </c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4"/>
      <c r="R3" s="1"/>
      <c r="S3" s="1"/>
      <c r="T3" s="1"/>
    </row>
    <row r="4" spans="1:20" ht="23.25" customHeight="1" thickBot="1">
      <c r="A4" s="1"/>
      <c r="B4" s="1"/>
      <c r="C4" s="435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7"/>
      <c r="R4" s="1"/>
      <c r="S4" s="1"/>
      <c r="T4" s="1"/>
    </row>
    <row r="5" spans="1:19" ht="23.25" customHeight="1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57"/>
      <c r="Q5" s="1"/>
      <c r="R5" s="1"/>
      <c r="S5" s="1"/>
    </row>
    <row r="6" spans="1:19" ht="21.75" customHeight="1">
      <c r="A6" s="1"/>
      <c r="B6" s="212"/>
      <c r="C6" s="438" t="str">
        <f>B7</f>
        <v>SOCRATE</v>
      </c>
      <c r="D6" s="439"/>
      <c r="E6" s="441"/>
      <c r="F6" s="439" t="str">
        <f>B10</f>
        <v>KANT</v>
      </c>
      <c r="G6" s="439"/>
      <c r="H6" s="439"/>
      <c r="I6" s="438" t="str">
        <f>B13</f>
        <v>NIETZCHE</v>
      </c>
      <c r="J6" s="439"/>
      <c r="K6" s="441"/>
      <c r="L6" s="439" t="str">
        <f>B16</f>
        <v>DEBORD</v>
      </c>
      <c r="M6" s="439"/>
      <c r="N6" s="439"/>
      <c r="O6" s="438" t="str">
        <f>B19</f>
        <v>TORTAJADA</v>
      </c>
      <c r="P6" s="439"/>
      <c r="Q6" s="440"/>
      <c r="R6" s="557"/>
      <c r="S6" s="1"/>
    </row>
    <row r="7" spans="1:19" ht="21.75" customHeight="1">
      <c r="A7" s="1"/>
      <c r="B7" s="213" t="str">
        <f>[0]!NOM1</f>
        <v>SOCRATE</v>
      </c>
      <c r="C7" s="423"/>
      <c r="D7" s="424"/>
      <c r="E7" s="425"/>
      <c r="F7" s="32">
        <f>IF(VLOOKUP($F$6,un,1,FALSE)=$F$6,VLOOKUP($F$6,un,2,FALSE),"")</f>
      </c>
      <c r="G7" s="206">
        <f>IF(H7="","",VLOOKUP(F$6,ordre1,9,FALSE))</f>
      </c>
      <c r="H7" s="44">
        <f>IF(VLOOKUP($F$6,un,1,FALSE)=$F$6,VLOOKUP($F$6,un,3,FALSE),"")</f>
      </c>
      <c r="I7" s="32">
        <f>IF(VLOOKUP($I$6,un,1,FALSE)=$I$6,VLOOKUP($I$6,un,2,FALSE),"")</f>
      </c>
      <c r="J7" s="206">
        <f>IF(K7="","",VLOOKUP(I$6,ordre1,9,FALSE))</f>
      </c>
      <c r="K7" s="44">
        <f>IF(VLOOKUP($I$6,un,1,FALSE)=$I$6,VLOOKUP($I$6,un,3,FALSE),"")</f>
      </c>
      <c r="L7" s="32">
        <f>IF(VLOOKUP($L$6,un,1,FALSE)=$L$6,VLOOKUP($L$6,un,2,FALSE),"")</f>
      </c>
      <c r="M7" s="206">
        <f>IF(N7="","",VLOOKUP(L$6,ordre1,9,FALSE))</f>
      </c>
      <c r="N7" s="44">
        <f>IF(VLOOKUP($L$6,un,1,FALSE)=$L$6,VLOOKUP($L$6,un,3,FALSE),"")</f>
      </c>
      <c r="O7" s="33">
        <f>IF(VLOOKUP($O$6,un,1,FALSE)=$O$6,VLOOKUP($O$6,un,2,FALSE),"")</f>
      </c>
      <c r="P7" s="206">
        <f>IF(Q7="","",VLOOKUP(O$6,ordre1,9,FALSE))</f>
      </c>
      <c r="Q7" s="214">
        <f>IF(VLOOKUP($O$6,un,1,FALSE)=$O$6,VLOOKUP($O$6,un,3,FALSE),"")</f>
      </c>
      <c r="R7" s="1"/>
      <c r="S7" s="1"/>
    </row>
    <row r="8" spans="1:20" ht="15.75" customHeight="1">
      <c r="A8" s="1"/>
      <c r="B8" s="223">
        <f>[0]!LIC1</f>
        <v>0</v>
      </c>
      <c r="C8" s="426"/>
      <c r="D8" s="427"/>
      <c r="E8" s="428"/>
      <c r="F8" s="34"/>
      <c r="G8" s="142">
        <f>IF(VLOOKUP($F$6,un,1,FALSE)=$F$6,VLOOKUP($F$6,un,7,FALSE),"")</f>
      </c>
      <c r="H8" s="45"/>
      <c r="I8" s="34"/>
      <c r="J8" s="142">
        <f>IF(VLOOKUP($I$6,un,1,FALSE)=$I$6,VLOOKUP($I$6,un,7,FALSE),"")</f>
      </c>
      <c r="K8" s="45"/>
      <c r="L8" s="34"/>
      <c r="M8" s="142">
        <f>IF(VLOOKUP($L$6,un,1,FALSE)=$L$6,VLOOKUP($L$6,un,7,FALSE),"")</f>
      </c>
      <c r="N8" s="45"/>
      <c r="O8" s="34"/>
      <c r="P8" s="142">
        <f>IF(VLOOKUP($O$6,un,1,FALSE)=$O$6,VLOOKUP($O$6,un,7,FALSE),"")</f>
      </c>
      <c r="Q8" s="215"/>
      <c r="R8" s="1"/>
      <c r="S8" s="1"/>
      <c r="T8" s="198" t="s">
        <v>17</v>
      </c>
    </row>
    <row r="9" spans="1:20" ht="21" customHeight="1">
      <c r="A9" s="1"/>
      <c r="B9" s="224">
        <f>[0]!CLUB1</f>
        <v>0</v>
      </c>
      <c r="C9" s="429"/>
      <c r="D9" s="430"/>
      <c r="E9" s="431"/>
      <c r="F9" s="345">
        <f>IF(H7="","",+F7/H7)</f>
      </c>
      <c r="G9" s="114"/>
      <c r="H9" s="115">
        <f>IF(VLOOKUP($F$6,un,1,FALSE)=$F$6,VLOOKUP($F$6,un,6,FALSE),"")</f>
      </c>
      <c r="I9" s="345">
        <f>IF(K7="","",+I7/K7)</f>
      </c>
      <c r="J9" s="114"/>
      <c r="K9" s="115">
        <f>IF(VLOOKUP($I$6,un,1,FALSE)=$I$6,VLOOKUP($I$6,un,6,FALSE),"")</f>
      </c>
      <c r="L9" s="345">
        <f>IF(N7="","",+L7/N7)</f>
      </c>
      <c r="M9" s="114"/>
      <c r="N9" s="115">
        <f>IF(VLOOKUP($L$6,un,1,FALSE)=$L$6,VLOOKUP($L$6,un,6,FALSE),"")</f>
      </c>
      <c r="O9" s="345">
        <f>IF(Q7="","",+O7/Q7)</f>
      </c>
      <c r="P9" s="35"/>
      <c r="Q9" s="216">
        <f>IF(VLOOKUP($O$6,un,1,FALSE)=$O$6,VLOOKUP($O$6,un,6,FALSE),"")</f>
      </c>
      <c r="R9" s="1"/>
      <c r="S9" s="1"/>
      <c r="T9" s="4" t="str">
        <f>modjeu</f>
        <v>3 BANDES</v>
      </c>
    </row>
    <row r="10" spans="1:19" ht="21.75" customHeight="1">
      <c r="A10" s="1"/>
      <c r="B10" s="213" t="str">
        <f>[0]!NOM2</f>
        <v>KANT</v>
      </c>
      <c r="C10" s="32">
        <f>IF(VLOOKUP($C$6,deu,1,FALSE)=$C$6,VLOOKUP($C$6,deu,2,FALSE),"")</f>
      </c>
      <c r="D10" s="206">
        <f>IF(E10="","",VLOOKUP(C$6,ordre2,9,FALSE))</f>
      </c>
      <c r="E10" s="44">
        <f>IF(VLOOKUP($C$6,deu,1,FALSE)=$C$6,VLOOKUP($C$6,deu,3,FALSE),"")</f>
      </c>
      <c r="F10" s="423"/>
      <c r="G10" s="424"/>
      <c r="H10" s="425"/>
      <c r="I10" s="32">
        <f>IF(VLOOKUP($I$6,deu,1,FALSE)=$I$6,VLOOKUP($I$6,deu,2,FALSE),"")</f>
      </c>
      <c r="J10" s="206">
        <f>IF(K10="","",VLOOKUP(I$6,ordre2,9,FALSE))</f>
      </c>
      <c r="K10" s="44">
        <f>IF(VLOOKUP($I$6,deu,1,FALSE)=$I$6,VLOOKUP($I$6,deu,3,FALSE),"")</f>
      </c>
      <c r="L10" s="32">
        <f>IF(VLOOKUP($L$6,deu,1,FALSE)=$L$6,VLOOKUP($L$6,deu,2,FALSE),"")</f>
      </c>
      <c r="M10" s="206">
        <f>IF(N10="","",VLOOKUP(L$6,ordre2,9,FALSE))</f>
      </c>
      <c r="N10" s="44">
        <f>IF(VLOOKUP($L$6,deu,1,FALSE)=$L$6,VLOOKUP($L$6,deu,3,FALSE),"")</f>
      </c>
      <c r="O10" s="32">
        <f>IF(VLOOKUP($O$6,deu,1,FALSE)=$O$6,VLOOKUP($O$6,deu,2,FALSE),"")</f>
      </c>
      <c r="P10" s="206">
        <f>IF(Q10="","",VLOOKUP(O$6,ordre2,9,FALSE))</f>
      </c>
      <c r="Q10" s="214">
        <f>IF(VLOOKUP($O$6,deu,1,FALSE)=$O$6,VLOOKUP($O$6,deu,3,FALSE),"")</f>
      </c>
      <c r="R10" s="1"/>
      <c r="S10" s="1"/>
    </row>
    <row r="11" spans="1:20" ht="15.75" customHeight="1">
      <c r="A11" s="1"/>
      <c r="B11" s="223">
        <f>[0]!LIC2</f>
        <v>0</v>
      </c>
      <c r="C11" s="34"/>
      <c r="D11" s="142">
        <f>IF(VLOOKUP($C$6,deu,1,FALSE)=$C$6,VLOOKUP($C$6,deu,7,FALSE),"")</f>
      </c>
      <c r="E11" s="45"/>
      <c r="F11" s="426"/>
      <c r="G11" s="427"/>
      <c r="H11" s="428"/>
      <c r="I11" s="270"/>
      <c r="J11" s="142">
        <f>IF(VLOOKUP($I$6,deu,1,FALSE)=$I$6,VLOOKUP($I$6,deu,7,FALSE),"")</f>
      </c>
      <c r="K11" s="45"/>
      <c r="L11" s="270"/>
      <c r="M11" s="142">
        <f>IF(VLOOKUP($L$6,deu,1,FALSE)=$L$6,VLOOKUP($L$6,deu,7,FALSE),"")</f>
      </c>
      <c r="N11" s="45"/>
      <c r="O11" s="270"/>
      <c r="P11" s="142">
        <f>IF(VLOOKUP($O$6,deu,1,FALSE)=$O$6,VLOOKUP($O$6,deu,7,FALSE),"")</f>
      </c>
      <c r="Q11" s="215"/>
      <c r="R11" s="1"/>
      <c r="S11" s="1"/>
      <c r="T11" s="198" t="s">
        <v>18</v>
      </c>
    </row>
    <row r="12" spans="1:20" ht="21" customHeight="1">
      <c r="A12" s="1"/>
      <c r="B12" s="224">
        <f>[0]!CLUB2</f>
        <v>0</v>
      </c>
      <c r="C12" s="345">
        <f>IF(E10="","",+C10/E10)</f>
      </c>
      <c r="D12" s="114"/>
      <c r="E12" s="115">
        <f>IF(VLOOKUP($C$6,deu,1,FALSE)=$C$6,VLOOKUP($C$6,deu,6,FALSE),"")</f>
      </c>
      <c r="F12" s="429"/>
      <c r="G12" s="430"/>
      <c r="H12" s="431"/>
      <c r="I12" s="345">
        <f>IF(K10="","",+I10/K10)</f>
      </c>
      <c r="J12" s="114"/>
      <c r="K12" s="115">
        <f>IF(VLOOKUP($I$6,deu,1,FALSE)=$I$6,VLOOKUP($I$6,deu,6,FALSE),"")</f>
      </c>
      <c r="L12" s="345">
        <f>IF(N10="","",+L10/N10)</f>
      </c>
      <c r="M12" s="114"/>
      <c r="N12" s="115">
        <f>IF(VLOOKUP($L$6,deu,1,FALSE)=$L$6,VLOOKUP($L$6,deu,6,FALSE),"")</f>
      </c>
      <c r="O12" s="345">
        <f>IF(Q10="","",+O10/Q10)</f>
      </c>
      <c r="P12" s="114"/>
      <c r="Q12" s="216">
        <f>IF(VLOOKUP($O$6,deu,1,FALSE)=$O$6,VLOOKUP($O$6,deu,6,FALSE),"")</f>
      </c>
      <c r="R12" s="1"/>
      <c r="S12" s="1"/>
      <c r="T12" s="4" t="str">
        <f>design1</f>
        <v>REGIONALE 2</v>
      </c>
    </row>
    <row r="13" spans="1:20" ht="21.75" customHeight="1">
      <c r="A13" s="1"/>
      <c r="B13" s="213" t="str">
        <f>[0]!NOM3</f>
        <v>NIETZCHE</v>
      </c>
      <c r="C13" s="32">
        <f>IF(VLOOKUP($C$6,tro,1,FALSE)=$C$6,VLOOKUP($C$6,tro,2,FALSE),"")</f>
      </c>
      <c r="D13" s="206">
        <f>IF(E13="","",VLOOKUP(C$6,ordre3,9,FALSE))</f>
      </c>
      <c r="E13" s="44">
        <f>IF(VLOOKUP($C$6,tro,1,FALSE)=$C$6,VLOOKUP($C$6,tro,3,FALSE),"")</f>
      </c>
      <c r="F13" s="32">
        <f>IF(VLOOKUP($F$6,tro,1,FALSE)=$F$6,VLOOKUP($F$6,tro,2,FALSE),"")</f>
      </c>
      <c r="G13" s="206">
        <f>IF(H13="","",VLOOKUP(F$6,ordre3,9,FALSE))</f>
      </c>
      <c r="H13" s="44">
        <f>IF(VLOOKUP($F$6,tro,1,FALSE)=$F$6,VLOOKUP($F$6,tro,3,FALSE),"")</f>
      </c>
      <c r="I13" s="423"/>
      <c r="J13" s="424"/>
      <c r="K13" s="425"/>
      <c r="L13" s="32">
        <f>IF(VLOOKUP($L$6,tro,1,FALSE)=$L$6,VLOOKUP($L$6,tro,2,FALSE),"")</f>
      </c>
      <c r="M13" s="206">
        <f>IF(N13="","",VLOOKUP(L$6,ordre3,9,FALSE))</f>
      </c>
      <c r="N13" s="44">
        <f>IF(VLOOKUP($L$6,tro,1,FALSE)=$L$6,VLOOKUP($L$6,tro,3,FALSE),"")</f>
      </c>
      <c r="O13" s="33">
        <f>IF(VLOOKUP($O$6,tro,1,FALSE)=$O$6,VLOOKUP($O$6,tro,2,FALSE),"")</f>
      </c>
      <c r="P13" s="206">
        <f>IF(Q13="","",VLOOKUP(O$6,ordre3,9,FALSE))</f>
      </c>
      <c r="Q13" s="214">
        <f>IF(VLOOKUP($O$6,tro,1,FALSE)=$O$6,VLOOKUP($O$6,tro,3,FALSE),"")</f>
      </c>
      <c r="R13" s="1"/>
      <c r="S13" s="1"/>
      <c r="T13" s="1"/>
    </row>
    <row r="14" spans="1:20" ht="15.75" customHeight="1">
      <c r="A14" s="1"/>
      <c r="B14" s="223">
        <f>[0]!LIC3</f>
        <v>0</v>
      </c>
      <c r="C14" s="270"/>
      <c r="D14" s="142">
        <f>IF(VLOOKUP($C$6,tro,1,FALSE)=$C$6,VLOOKUP($C$6,tro,7,FALSE),"")</f>
      </c>
      <c r="E14" s="45"/>
      <c r="F14" s="34"/>
      <c r="G14" s="142">
        <f>IF(VLOOKUP($F$6,tro,1,FALSE)=$F$6,VLOOKUP($F$6,tro,7,FALSE),"")</f>
      </c>
      <c r="H14" s="45"/>
      <c r="I14" s="426"/>
      <c r="J14" s="427"/>
      <c r="K14" s="428"/>
      <c r="L14" s="270"/>
      <c r="M14" s="142">
        <f>IF(VLOOKUP($L$6,tro,1,FALSE)=$L$6,VLOOKUP($L$6,tro,7,FALSE),"")</f>
      </c>
      <c r="N14" s="45"/>
      <c r="O14" s="270"/>
      <c r="P14" s="142">
        <f>IF(VLOOKUP($O$6,tro,1,FALSE)=$O$6,VLOOKUP($O$6,tro,7,FALSE),"")</f>
      </c>
      <c r="Q14" s="215"/>
      <c r="R14" s="1"/>
      <c r="S14" s="1"/>
      <c r="T14" s="199" t="s">
        <v>19</v>
      </c>
    </row>
    <row r="15" spans="1:20" ht="21.75" customHeight="1">
      <c r="A15" s="1"/>
      <c r="B15" s="224">
        <f>[0]!CLUB3</f>
        <v>0</v>
      </c>
      <c r="C15" s="345">
        <f>IF(E13="","",+C13/E13)</f>
      </c>
      <c r="D15" s="35"/>
      <c r="E15" s="115">
        <f>IF(VLOOKUP($C$6,tro,1,FALSE)=$C$6,VLOOKUP($C$6,tro,6,FALSE),"")</f>
      </c>
      <c r="F15" s="345">
        <f>IF(H13="","",+F13/H13)</f>
      </c>
      <c r="G15" s="114"/>
      <c r="H15" s="115">
        <f>IF(VLOOKUP($F$6,tro,1,FALSE)=$F$6,VLOOKUP($F$6,tro,6,FALSE),"")</f>
      </c>
      <c r="I15" s="429"/>
      <c r="J15" s="430"/>
      <c r="K15" s="431"/>
      <c r="L15" s="345">
        <f>IF(N13="","",+L13/N13)</f>
      </c>
      <c r="M15" s="114"/>
      <c r="N15" s="115">
        <f>IF(VLOOKUP($L$6,tro,1,FALSE)=$L$6,VLOOKUP($L$6,tro,6,FALSE),"")</f>
      </c>
      <c r="O15" s="345">
        <f>IF(Q13="","",+O13/Q13)</f>
      </c>
      <c r="P15" s="35"/>
      <c r="Q15" s="216">
        <f>IF(VLOOKUP($O$6,tro,1,FALSE)=$O$6,VLOOKUP($O$6,tro,6,FALSE),"")</f>
      </c>
      <c r="R15" s="1"/>
      <c r="T15" s="197" t="str">
        <f>bill</f>
        <v>2m80</v>
      </c>
    </row>
    <row r="16" spans="1:20" ht="21" customHeight="1">
      <c r="A16" s="1"/>
      <c r="B16" s="213" t="str">
        <f>[0]!NOM4</f>
        <v>DEBORD</v>
      </c>
      <c r="C16" s="32">
        <f>IF(VLOOKUP($C$6,qua,1,FALSE)=$C$6,VLOOKUP($C$6,qua,2,FALSE),"")</f>
      </c>
      <c r="D16" s="206">
        <f>IF(E16="","",VLOOKUP(C$6,ordre4,9,FALSE))</f>
      </c>
      <c r="E16" s="44">
        <f>IF(VLOOKUP($C$6,qua,1,FALSE)=$C$6,VLOOKUP($C$6,qua,3,FALSE),"")</f>
      </c>
      <c r="F16" s="32">
        <f>IF(VLOOKUP($F$6,qua,1,FALSE)=$F$6,VLOOKUP($F$6,qua,2,FALSE),"")</f>
      </c>
      <c r="G16" s="206">
        <f>IF(H16="","",VLOOKUP(F$6,ordre4,9,FALSE))</f>
      </c>
      <c r="H16" s="44">
        <f>IF(VLOOKUP($F$6,qua,1,FALSE)=$F$6,VLOOKUP($F$6,qua,3,FALSE),"")</f>
      </c>
      <c r="I16" s="32">
        <f>IF(VLOOKUP($I$6,qua,1,FALSE)=$I$6,VLOOKUP($I$6,qua,2,FALSE),"")</f>
      </c>
      <c r="J16" s="206">
        <f>IF(K16="","",VLOOKUP(I$6,ordre4,9,FALSE))</f>
      </c>
      <c r="K16" s="44">
        <f>IF(VLOOKUP($I$6,qua,1,FALSE)=$I$6,VLOOKUP($I$6,qua,3,FALSE),"")</f>
      </c>
      <c r="L16" s="423"/>
      <c r="M16" s="424"/>
      <c r="N16" s="425"/>
      <c r="O16" s="33">
        <f>IF(VLOOKUP($O$6,qua,1,FALSE)=$O$6,VLOOKUP($O$6,qua,2,FALSE),"")</f>
      </c>
      <c r="P16" s="206">
        <f>IF(Q16="","",VLOOKUP(O$6,ordre4,9,FALSE))</f>
      </c>
      <c r="Q16" s="214">
        <f>IF(VLOOKUP($O$6,qua,1,FALSE)=$O$6,VLOOKUP($O$6,qua,3,FALSE),"")</f>
      </c>
      <c r="R16" s="1"/>
      <c r="S16" s="1"/>
      <c r="T16" s="1"/>
    </row>
    <row r="17" spans="1:20" ht="15.75" customHeight="1">
      <c r="A17" s="5"/>
      <c r="B17" s="223">
        <f>[0]!LIC4</f>
        <v>0</v>
      </c>
      <c r="C17" s="270"/>
      <c r="D17" s="142">
        <f>IF(VLOOKUP($C$6,qua,1,FALSE)=$C$6,VLOOKUP($C$6,qua,7,FALSE),"")</f>
      </c>
      <c r="E17" s="45"/>
      <c r="F17" s="270"/>
      <c r="G17" s="142">
        <f>IF(VLOOKUP($F$6,qua,1,FALSE)=$F$6,VLOOKUP($F$6,qua,7,FALSE),"")</f>
      </c>
      <c r="H17" s="45"/>
      <c r="I17" s="34"/>
      <c r="J17" s="142">
        <f>IF(VLOOKUP($I$6,qua,1,FALSE)=$I$6,VLOOKUP($I$6,qua,7,FALSE),"")</f>
      </c>
      <c r="K17" s="45"/>
      <c r="L17" s="426"/>
      <c r="M17" s="427"/>
      <c r="N17" s="428"/>
      <c r="O17" s="270"/>
      <c r="P17" s="142">
        <f>IF(VLOOKUP($O$6,qua,1,FALSE)=$O$6,VLOOKUP($O$6,qua,7,FALSE),"")</f>
      </c>
      <c r="Q17" s="215"/>
      <c r="R17" s="1"/>
      <c r="S17" s="1"/>
      <c r="T17" s="198" t="s">
        <v>20</v>
      </c>
    </row>
    <row r="18" spans="1:20" ht="21" customHeight="1">
      <c r="A18" s="1"/>
      <c r="B18" s="224">
        <f>[0]!CLUB4</f>
        <v>0</v>
      </c>
      <c r="C18" s="345">
        <f>IF(E16="","",+C16/E16)</f>
      </c>
      <c r="D18" s="35"/>
      <c r="E18" s="115">
        <f>IF(VLOOKUP($C$6,qua,1,FALSE)=$C$6,VLOOKUP($C$6,qua,6,FALSE),"")</f>
      </c>
      <c r="F18" s="345">
        <f>IF(H16="","",+F16/H16)</f>
      </c>
      <c r="G18" s="114"/>
      <c r="H18" s="115">
        <f>IF(VLOOKUP($F$6,qua,1,FALSE)=$F$6,VLOOKUP($F$6,qua,6,FALSE),"")</f>
      </c>
      <c r="I18" s="345">
        <f>IF(K16="","",+I16/K16)</f>
      </c>
      <c r="J18" s="114"/>
      <c r="K18" s="115">
        <f>IF(VLOOKUP($I$6,qua,1,FALSE)=$I$6,VLOOKUP($I$6,qua,6,FALSE),"")</f>
      </c>
      <c r="L18" s="429"/>
      <c r="M18" s="430"/>
      <c r="N18" s="431"/>
      <c r="O18" s="345">
        <f>IF(Q16="","",+O16/Q16)</f>
      </c>
      <c r="P18" s="35"/>
      <c r="Q18" s="216">
        <f>IF(VLOOKUP($O$6,qua,1,FALSE)=$O$6,VLOOKUP($O$6,qua,6,FALSE),"")</f>
      </c>
      <c r="R18" s="1"/>
      <c r="S18" s="46">
        <f>[0]!DISTANCE</f>
        <v>25</v>
      </c>
      <c r="T18" s="183" t="s">
        <v>8</v>
      </c>
    </row>
    <row r="19" spans="1:20" ht="22.5" customHeight="1">
      <c r="A19" s="1"/>
      <c r="B19" s="213" t="str">
        <f>[0]!NOM5</f>
        <v>TORTAJADA</v>
      </c>
      <c r="C19" s="32">
        <f>IF(VLOOKUP($C$6,cin,1,FALSE)=$C$6,VLOOKUP($C$6,cin,2,FALSE),"")</f>
      </c>
      <c r="D19" s="206">
        <f>IF(E19="","",VLOOKUP(C$6,ordre5,9,FALSE))</f>
      </c>
      <c r="E19" s="44">
        <f>IF(VLOOKUP($C$6,cin,1,FALSE)=$C$6,VLOOKUP($C$6,cin,3,FALSE),"")</f>
      </c>
      <c r="F19" s="32">
        <f>IF(VLOOKUP($F$6,cin,1,FALSE)=$F$6,VLOOKUP($F$6,cin,2,FALSE),"")</f>
      </c>
      <c r="G19" s="206">
        <f>IF(H19="","",VLOOKUP(F$6,ordre5,9,FALSE))</f>
      </c>
      <c r="H19" s="44">
        <f>IF(VLOOKUP($F$6,cin,1,FALSE)=$F$6,VLOOKUP($F$6,cin,3,FALSE),"")</f>
      </c>
      <c r="I19" s="32">
        <f>IF(VLOOKUP($I$6,cin,1,FALSE)=$I$6,VLOOKUP($I$6,cin,2,FALSE),"")</f>
      </c>
      <c r="J19" s="206">
        <f>IF(K19="","",VLOOKUP(I$6,ordre5,9,FALSE))</f>
      </c>
      <c r="K19" s="44">
        <f>IF(VLOOKUP($I$6,cin,1,FALSE)=$I$6,VLOOKUP($I$6,cin,3,FALSE),"")</f>
      </c>
      <c r="L19" s="32">
        <f>IF(VLOOKUP($L$6,cin,1,FALSE)=$L$6,VLOOKUP($L$6,cin,2,FALSE),"")</f>
      </c>
      <c r="M19" s="206">
        <f>IF(N19="","",VLOOKUP(L$6,ordre5,9,FALSE))</f>
      </c>
      <c r="N19" s="44">
        <f>IF(VLOOKUP($L$6,cin,1,FALSE)=$L$6,VLOOKUP($L$6,cin,3,FALSE),"")</f>
      </c>
      <c r="O19" s="423"/>
      <c r="P19" s="424"/>
      <c r="Q19" s="425"/>
      <c r="R19" s="1"/>
      <c r="S19" s="1"/>
      <c r="T19" s="1"/>
    </row>
    <row r="20" spans="1:20" ht="16.5" customHeight="1">
      <c r="A20" s="1"/>
      <c r="B20" s="223">
        <f>[0]!LIC5</f>
        <v>0</v>
      </c>
      <c r="C20" s="270"/>
      <c r="D20" s="142">
        <f>IF(VLOOKUP($C$6,cin,1,FALSE)=$C$6,VLOOKUP($C$6,cin,7,FALSE),"")</f>
      </c>
      <c r="E20" s="45"/>
      <c r="F20" s="270"/>
      <c r="G20" s="142">
        <f>IF(VLOOKUP($F$6,cin,1,FALSE)=$F$6,VLOOKUP($F$6,cin,7,FALSE),"")</f>
      </c>
      <c r="H20" s="45"/>
      <c r="I20" s="270"/>
      <c r="J20" s="142">
        <f>IF(VLOOKUP($I$6,cin,1,FALSE)=$I$6,VLOOKUP($I$6,cin,7,FALSE),"")</f>
      </c>
      <c r="K20" s="45"/>
      <c r="L20" s="34"/>
      <c r="M20" s="142">
        <f>IF(VLOOKUP($L$6,cin,1,FALSE)=$L$6,VLOOKUP($L$6,cin,7,FALSE),"")</f>
      </c>
      <c r="N20" s="45"/>
      <c r="O20" s="426"/>
      <c r="P20" s="427"/>
      <c r="Q20" s="428"/>
      <c r="R20" s="1"/>
      <c r="S20" s="1"/>
      <c r="T20" s="198" t="s">
        <v>0</v>
      </c>
    </row>
    <row r="21" spans="1:20" ht="22.5" customHeight="1" thickBot="1">
      <c r="A21" s="1"/>
      <c r="B21" s="225">
        <f>[0]!CLUB5</f>
        <v>0</v>
      </c>
      <c r="C21" s="346">
        <f>IF(E19="","",+C19/E19)</f>
      </c>
      <c r="D21" s="217"/>
      <c r="E21" s="218">
        <f>IF(VLOOKUP($C$6,cin,1,FALSE)=$C$6,VLOOKUP($C$6,cin,6,FALSE),"")</f>
      </c>
      <c r="F21" s="346">
        <f>IF(H19="","",+F19/H19)</f>
      </c>
      <c r="G21" s="217"/>
      <c r="H21" s="218">
        <f>IF(VLOOKUP($F$6,cin,1,FALSE)=$F$6,VLOOKUP($F$6,cin,6,FALSE),"")</f>
      </c>
      <c r="I21" s="346">
        <f>IF(K19="","",+I19/K19)</f>
      </c>
      <c r="J21" s="217"/>
      <c r="K21" s="218">
        <f>IF(VLOOKUP($I$6,cin,1,FALSE)=$I$6,VLOOKUP($I$6,cin,6,FALSE),"")</f>
      </c>
      <c r="L21" s="346">
        <f>IF(N19="","",+L19/N19)</f>
      </c>
      <c r="M21" s="217"/>
      <c r="N21" s="218">
        <f>IF(VLOOKUP($L$6,cin,1,FALSE)=$L$6,VLOOKUP($L$6,cin,6,FALSE),"")</f>
      </c>
      <c r="O21" s="429"/>
      <c r="P21" s="430"/>
      <c r="Q21" s="431"/>
      <c r="R21" s="1"/>
      <c r="S21" s="1"/>
      <c r="T21" s="4" t="str">
        <f>design2</f>
        <v>RANKING</v>
      </c>
    </row>
    <row r="22" spans="1:24" ht="15">
      <c r="A22" s="1"/>
      <c r="B22" s="7"/>
      <c r="C22" s="7"/>
      <c r="D22" s="7"/>
      <c r="E22" s="7"/>
      <c r="F22" s="7"/>
      <c r="G22" s="7"/>
      <c r="H22" s="7"/>
      <c r="I22" s="7"/>
      <c r="K22" s="222" t="s">
        <v>92</v>
      </c>
      <c r="L22" s="272"/>
      <c r="M22" s="273"/>
      <c r="N22" s="273"/>
      <c r="O22" s="273"/>
      <c r="P22" s="273"/>
      <c r="Q22" s="277"/>
      <c r="R22" s="1"/>
      <c r="S22" s="1"/>
      <c r="T22" s="1"/>
      <c r="X22" t="s">
        <v>47</v>
      </c>
    </row>
    <row r="23" spans="1:20" ht="18">
      <c r="A23" s="6"/>
      <c r="B23" s="420" t="str">
        <f>dat</f>
        <v>Les 17 et 18 novembre 2007</v>
      </c>
      <c r="C23" s="420"/>
      <c r="D23" s="420"/>
      <c r="E23" s="1"/>
      <c r="F23" s="271"/>
      <c r="G23" s="219" t="s">
        <v>2</v>
      </c>
      <c r="H23" s="421">
        <f>dirjeu</f>
        <v>0</v>
      </c>
      <c r="I23" s="421"/>
      <c r="J23" s="421"/>
      <c r="K23" s="422"/>
      <c r="L23" s="274"/>
      <c r="M23" s="220"/>
      <c r="N23" s="220"/>
      <c r="O23" s="220"/>
      <c r="P23" s="220"/>
      <c r="Q23" s="278"/>
      <c r="R23" s="1"/>
      <c r="S23" s="1"/>
      <c r="T23" s="198" t="s">
        <v>1</v>
      </c>
    </row>
    <row r="24" spans="1:20" ht="24" thickBot="1">
      <c r="A24" s="1"/>
      <c r="B24" s="1"/>
      <c r="C24" s="1"/>
      <c r="D24" s="1"/>
      <c r="E24" s="1"/>
      <c r="F24" s="1"/>
      <c r="G24" s="3"/>
      <c r="H24" s="1"/>
      <c r="I24" s="1"/>
      <c r="J24" s="1"/>
      <c r="K24" s="221"/>
      <c r="L24" s="275"/>
      <c r="M24" s="276"/>
      <c r="N24" s="276"/>
      <c r="O24" s="276"/>
      <c r="P24" s="276"/>
      <c r="Q24" s="279"/>
      <c r="R24" s="1"/>
      <c r="S24" s="1"/>
      <c r="T24" s="4" t="str">
        <f>poul</f>
        <v>A</v>
      </c>
    </row>
    <row r="25" spans="2:30" ht="13.5" customHeight="1">
      <c r="B25" s="189"/>
      <c r="C25" s="190"/>
      <c r="D25" s="191"/>
      <c r="E25" s="192" t="s">
        <v>21</v>
      </c>
      <c r="F25" s="190"/>
      <c r="G25" s="193"/>
      <c r="H25" s="192" t="s">
        <v>22</v>
      </c>
      <c r="I25" s="192" t="s">
        <v>22</v>
      </c>
      <c r="J25" s="442" t="s">
        <v>7</v>
      </c>
      <c r="K25" s="443"/>
      <c r="L25" s="442" t="s">
        <v>7</v>
      </c>
      <c r="M25" s="443"/>
      <c r="N25" s="192" t="s">
        <v>24</v>
      </c>
      <c r="O25" s="192" t="s">
        <v>110</v>
      </c>
      <c r="P25" s="377"/>
      <c r="Q25" s="378"/>
      <c r="T25" s="1"/>
      <c r="V25" s="116"/>
      <c r="W25" s="117"/>
      <c r="X25" s="118" t="s">
        <v>22</v>
      </c>
      <c r="Y25" s="118" t="s">
        <v>22</v>
      </c>
      <c r="Z25" s="119" t="s">
        <v>23</v>
      </c>
      <c r="AA25" s="119" t="s">
        <v>23</v>
      </c>
      <c r="AB25" s="119" t="s">
        <v>23</v>
      </c>
      <c r="AC25" s="120" t="s">
        <v>24</v>
      </c>
      <c r="AD25" s="121" t="s">
        <v>25</v>
      </c>
    </row>
    <row r="26" spans="2:30" ht="19.5" customHeight="1" thickBot="1">
      <c r="B26" s="194" t="s">
        <v>3</v>
      </c>
      <c r="C26" s="27" t="s">
        <v>4</v>
      </c>
      <c r="D26" s="28"/>
      <c r="E26" s="29" t="s">
        <v>16</v>
      </c>
      <c r="F26" s="30" t="s">
        <v>5</v>
      </c>
      <c r="G26" s="28"/>
      <c r="H26" s="29" t="s">
        <v>8</v>
      </c>
      <c r="I26" s="29" t="s">
        <v>12</v>
      </c>
      <c r="J26" s="444" t="s">
        <v>64</v>
      </c>
      <c r="K26" s="445"/>
      <c r="L26" s="444" t="s">
        <v>65</v>
      </c>
      <c r="M26" s="445"/>
      <c r="N26" s="29" t="s">
        <v>9</v>
      </c>
      <c r="O26" s="29" t="s">
        <v>168</v>
      </c>
      <c r="P26" s="383" t="s">
        <v>167</v>
      </c>
      <c r="Q26" s="379"/>
      <c r="T26" s="1"/>
      <c r="V26" s="116"/>
      <c r="W26" s="122" t="s">
        <v>3</v>
      </c>
      <c r="X26" s="123" t="s">
        <v>8</v>
      </c>
      <c r="Y26" s="123" t="s">
        <v>12</v>
      </c>
      <c r="Z26" s="123" t="s">
        <v>50</v>
      </c>
      <c r="AA26" s="124" t="s">
        <v>26</v>
      </c>
      <c r="AB26" s="138" t="s">
        <v>49</v>
      </c>
      <c r="AC26" s="123" t="s">
        <v>9</v>
      </c>
      <c r="AD26" s="125" t="s">
        <v>27</v>
      </c>
    </row>
    <row r="27" spans="2:31" ht="19.5" customHeight="1" thickBot="1">
      <c r="B27" s="355" t="str">
        <f>$W27</f>
        <v>DEBORD</v>
      </c>
      <c r="C27" s="356">
        <f>VLOOKUP($B27,init,2,FALSE)</f>
        <v>0</v>
      </c>
      <c r="D27" s="357"/>
      <c r="E27" s="358">
        <f>VLOOKUP($B27,init,4,FALSE)</f>
        <v>0</v>
      </c>
      <c r="F27" s="359">
        <f>VLOOKUP($B27,init,3,FALSE)</f>
        <v>0</v>
      </c>
      <c r="G27" s="31"/>
      <c r="H27" s="188">
        <f>$X27</f>
        <v>0</v>
      </c>
      <c r="I27" s="188">
        <f>$Y27</f>
        <v>0</v>
      </c>
      <c r="J27" s="452">
        <f>IF(I27=0,"",H27/I27)</f>
      </c>
      <c r="K27" s="453"/>
      <c r="L27" s="450">
        <f>$AA27</f>
        <v>0</v>
      </c>
      <c r="M27" s="451"/>
      <c r="N27" s="188">
        <f>$AC27</f>
        <v>0</v>
      </c>
      <c r="O27" s="188">
        <f>$AD27</f>
        <v>0</v>
      </c>
      <c r="P27" s="380" t="s">
        <v>28</v>
      </c>
      <c r="Q27" s="360"/>
      <c r="T27" s="1"/>
      <c r="V27" s="126" t="s">
        <v>28</v>
      </c>
      <c r="W27" s="127" t="str">
        <f>NOM4</f>
        <v>DEBORD</v>
      </c>
      <c r="X27" s="128">
        <f>VLOOKUP($X$22,qua,2,FALSE)</f>
        <v>0</v>
      </c>
      <c r="Y27" s="128">
        <f>VLOOKUP($X$22,qua,3,FALSE)</f>
        <v>0</v>
      </c>
      <c r="Z27" s="172" t="e">
        <f>X27/Y27</f>
        <v>#DIV/0!</v>
      </c>
      <c r="AA27" s="172">
        <f>VLOOKUP($X$22,qua,5,FALSE)</f>
        <v>0</v>
      </c>
      <c r="AB27" s="172">
        <f>VLOOKUP($X$22,qua,8,FALSE)</f>
        <v>0</v>
      </c>
      <c r="AC27" s="128">
        <f>VLOOKUP($X$22,qua,6,FALSE)</f>
        <v>0</v>
      </c>
      <c r="AD27" s="129">
        <f>VLOOKUP($X$22,qua,7,FALSE)</f>
        <v>0</v>
      </c>
      <c r="AE27" s="139" t="s">
        <v>28</v>
      </c>
    </row>
    <row r="28" spans="2:31" ht="21.75" customHeight="1" thickBot="1">
      <c r="B28" s="355" t="str">
        <f>$W28</f>
        <v>SOCRATE</v>
      </c>
      <c r="C28" s="356">
        <f>VLOOKUP($B28,init,2,FALSE)</f>
        <v>0</v>
      </c>
      <c r="D28" s="357"/>
      <c r="E28" s="358">
        <f>VLOOKUP($B28,init,4,FALSE)</f>
        <v>0</v>
      </c>
      <c r="F28" s="359">
        <f>VLOOKUP($B28,init,3,FALSE)</f>
        <v>0</v>
      </c>
      <c r="G28" s="31"/>
      <c r="H28" s="188">
        <f>$X28</f>
        <v>0</v>
      </c>
      <c r="I28" s="188">
        <f>$Y28</f>
        <v>0</v>
      </c>
      <c r="J28" s="452">
        <f>IF(I28=0,"",H28/I28)</f>
      </c>
      <c r="K28" s="453"/>
      <c r="L28" s="450">
        <f>$AA28</f>
        <v>0</v>
      </c>
      <c r="M28" s="451"/>
      <c r="N28" s="188">
        <f>$AC28</f>
        <v>0</v>
      </c>
      <c r="O28" s="188">
        <f>$AD28</f>
        <v>0</v>
      </c>
      <c r="P28" s="381" t="s">
        <v>29</v>
      </c>
      <c r="Q28" s="360"/>
      <c r="T28" s="1"/>
      <c r="V28" s="130" t="s">
        <v>29</v>
      </c>
      <c r="W28" s="131" t="str">
        <f>NOM1</f>
        <v>SOCRATE</v>
      </c>
      <c r="X28" s="132">
        <f>VLOOKUP($X$22,un,2,FALSE)</f>
        <v>0</v>
      </c>
      <c r="Y28" s="132">
        <f>VLOOKUP($X$22,un,3,FALSE)</f>
        <v>0</v>
      </c>
      <c r="Z28" s="172" t="e">
        <f>X28/Y28</f>
        <v>#DIV/0!</v>
      </c>
      <c r="AA28" s="173">
        <f>VLOOKUP($X$22,un,5,FALSE)</f>
        <v>0</v>
      </c>
      <c r="AB28" s="173">
        <f>VLOOKUP($X$22,un,8,FALSE)</f>
        <v>0</v>
      </c>
      <c r="AC28" s="132">
        <f>VLOOKUP($X$22,un,6,FALSE)</f>
        <v>0</v>
      </c>
      <c r="AD28" s="133">
        <f>VLOOKUP($X$22,un,7,FALSE)</f>
        <v>0</v>
      </c>
      <c r="AE28" s="140" t="s">
        <v>29</v>
      </c>
    </row>
    <row r="29" spans="2:31" ht="21.75" customHeight="1" thickBot="1">
      <c r="B29" s="355" t="str">
        <f>$W29</f>
        <v>KANT</v>
      </c>
      <c r="C29" s="356">
        <f>VLOOKUP($B29,init,2,FALSE)</f>
        <v>0</v>
      </c>
      <c r="D29" s="357"/>
      <c r="E29" s="358">
        <f>VLOOKUP($B29,init,4,FALSE)</f>
        <v>0</v>
      </c>
      <c r="F29" s="359">
        <f>VLOOKUP($B29,init,3,FALSE)</f>
        <v>0</v>
      </c>
      <c r="G29" s="31"/>
      <c r="H29" s="188">
        <f>$X29</f>
        <v>0</v>
      </c>
      <c r="I29" s="188">
        <f>$Y29</f>
        <v>0</v>
      </c>
      <c r="J29" s="452">
        <f>IF(I29=0,"",H29/I29)</f>
      </c>
      <c r="K29" s="453"/>
      <c r="L29" s="450">
        <f>$AA29</f>
        <v>0</v>
      </c>
      <c r="M29" s="451"/>
      <c r="N29" s="188">
        <f>$AC29</f>
        <v>0</v>
      </c>
      <c r="O29" s="188">
        <f>$AD29</f>
        <v>0</v>
      </c>
      <c r="P29" s="381" t="s">
        <v>30</v>
      </c>
      <c r="Q29" s="360"/>
      <c r="T29" s="1"/>
      <c r="V29" s="130" t="s">
        <v>30</v>
      </c>
      <c r="W29" s="131" t="str">
        <f>NOM2</f>
        <v>KANT</v>
      </c>
      <c r="X29" s="132">
        <f>VLOOKUP($X$22,deu,2,FALSE)</f>
        <v>0</v>
      </c>
      <c r="Y29" s="132">
        <f>VLOOKUP($X$22,deu,3,FALSE)</f>
        <v>0</v>
      </c>
      <c r="Z29" s="172" t="e">
        <f>X29/Y29</f>
        <v>#DIV/0!</v>
      </c>
      <c r="AA29" s="173">
        <f>VLOOKUP($X$22,deu,5,FALSE)</f>
        <v>0</v>
      </c>
      <c r="AB29" s="173">
        <f>VLOOKUP($X$22,deu,8,FALSE)</f>
        <v>0</v>
      </c>
      <c r="AC29" s="132">
        <f>VLOOKUP($X$22,deu,6,FALSE)</f>
        <v>0</v>
      </c>
      <c r="AD29" s="133">
        <f>VLOOKUP($X$22,deu,7,FALSE)</f>
        <v>0</v>
      </c>
      <c r="AE29" s="140" t="s">
        <v>30</v>
      </c>
    </row>
    <row r="30" spans="2:31" ht="21" customHeight="1" thickBot="1">
      <c r="B30" s="355" t="str">
        <f>$W30</f>
        <v>TORTAJADA</v>
      </c>
      <c r="C30" s="356">
        <f>VLOOKUP($B30,init,2,FALSE)</f>
        <v>0</v>
      </c>
      <c r="D30" s="357"/>
      <c r="E30" s="358">
        <f>VLOOKUP($B30,init,4,FALSE)</f>
        <v>0</v>
      </c>
      <c r="F30" s="359">
        <f>VLOOKUP($B30,init,3,FALSE)</f>
        <v>0</v>
      </c>
      <c r="G30" s="31"/>
      <c r="H30" s="188">
        <f>$X30</f>
        <v>0</v>
      </c>
      <c r="I30" s="188">
        <f>$Y30</f>
        <v>0</v>
      </c>
      <c r="J30" s="452">
        <f>IF(I30=0,"",H30/I30)</f>
      </c>
      <c r="K30" s="453"/>
      <c r="L30" s="450">
        <f>$AA30</f>
        <v>0</v>
      </c>
      <c r="M30" s="451"/>
      <c r="N30" s="188">
        <f>$AC30</f>
        <v>0</v>
      </c>
      <c r="O30" s="188">
        <f>$AD30</f>
        <v>0</v>
      </c>
      <c r="P30" s="381" t="s">
        <v>31</v>
      </c>
      <c r="Q30" s="360"/>
      <c r="T30" s="1"/>
      <c r="V30" s="130" t="s">
        <v>31</v>
      </c>
      <c r="W30" s="131" t="str">
        <f>NOM5</f>
        <v>TORTAJADA</v>
      </c>
      <c r="X30" s="132">
        <f>VLOOKUP($X$22,cin,2,FALSE)</f>
        <v>0</v>
      </c>
      <c r="Y30" s="132">
        <f>VLOOKUP($X$22,cin,3,FALSE)</f>
        <v>0</v>
      </c>
      <c r="Z30" s="172" t="e">
        <f>X30/Y30</f>
        <v>#DIV/0!</v>
      </c>
      <c r="AA30" s="173">
        <f>VLOOKUP($X$22,cin,5,FALSE)</f>
        <v>0</v>
      </c>
      <c r="AB30" s="173">
        <f>VLOOKUP($X$22,cin,8,FALSE)</f>
        <v>0</v>
      </c>
      <c r="AC30" s="132">
        <f>VLOOKUP($X$22,cin,6,FALSE)</f>
        <v>0</v>
      </c>
      <c r="AD30" s="133">
        <f>VLOOKUP($X$22,cin,7,FALSE)</f>
        <v>0</v>
      </c>
      <c r="AE30" s="140" t="s">
        <v>31</v>
      </c>
    </row>
    <row r="31" spans="2:31" ht="21" customHeight="1" thickBot="1">
      <c r="B31" s="361" t="str">
        <f>$W31</f>
        <v>NIETZCHE</v>
      </c>
      <c r="C31" s="362">
        <f>VLOOKUP($B31,init,2,FALSE)</f>
        <v>0</v>
      </c>
      <c r="D31" s="363"/>
      <c r="E31" s="364">
        <f>VLOOKUP($B31,init,4,FALSE)</f>
        <v>0</v>
      </c>
      <c r="F31" s="365">
        <f>VLOOKUP($B31,init,3,FALSE)</f>
        <v>0</v>
      </c>
      <c r="G31" s="195"/>
      <c r="H31" s="196">
        <f>$X31</f>
        <v>0</v>
      </c>
      <c r="I31" s="196">
        <f>$Y31</f>
        <v>0</v>
      </c>
      <c r="J31" s="448">
        <f>IF(I31=0,"",H31/I31)</f>
      </c>
      <c r="K31" s="449"/>
      <c r="L31" s="446">
        <f>$AA31</f>
        <v>0</v>
      </c>
      <c r="M31" s="447"/>
      <c r="N31" s="196">
        <f>$AC31</f>
        <v>0</v>
      </c>
      <c r="O31" s="196">
        <f>$AD31</f>
        <v>0</v>
      </c>
      <c r="P31" s="382" t="s">
        <v>33</v>
      </c>
      <c r="Q31" s="366"/>
      <c r="T31" s="1"/>
      <c r="V31" s="134" t="s">
        <v>33</v>
      </c>
      <c r="W31" s="135" t="str">
        <f>NOM3</f>
        <v>NIETZCHE</v>
      </c>
      <c r="X31" s="136">
        <f>VLOOKUP($X$22,tro,2,FALSE)</f>
        <v>0</v>
      </c>
      <c r="Y31" s="136">
        <f>VLOOKUP($X$22,tro,3,FALSE)</f>
        <v>0</v>
      </c>
      <c r="Z31" s="172" t="e">
        <f>X31/Y31</f>
        <v>#DIV/0!</v>
      </c>
      <c r="AA31" s="174">
        <f>VLOOKUP($X$22,tro,5,FALSE)</f>
        <v>0</v>
      </c>
      <c r="AB31" s="174">
        <f>VLOOKUP($X$22,tro,8,FALSE)</f>
        <v>0</v>
      </c>
      <c r="AC31" s="136">
        <f>VLOOKUP($X$22,tro,6,FALSE)</f>
        <v>0</v>
      </c>
      <c r="AD31" s="137">
        <f>VLOOKUP($X$22,tro,7,FALSE)</f>
        <v>0</v>
      </c>
      <c r="AE31" s="141" t="s">
        <v>33</v>
      </c>
    </row>
    <row r="32" spans="1:30" ht="15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1"/>
      <c r="O32" s="1"/>
      <c r="P32" s="2"/>
      <c r="Q32" s="2"/>
      <c r="R32" s="1"/>
      <c r="S32" s="1"/>
      <c r="T32" s="1"/>
      <c r="V32" s="116"/>
      <c r="W32" s="116"/>
      <c r="X32" s="116"/>
      <c r="Y32" s="116"/>
      <c r="Z32" s="116"/>
      <c r="AA32" s="116"/>
      <c r="AB32" s="116"/>
      <c r="AC32" s="116"/>
      <c r="AD32" s="116"/>
    </row>
    <row r="33" spans="1:20" ht="15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1"/>
      <c r="O33" s="1"/>
      <c r="P33" s="2"/>
      <c r="Q33" s="2"/>
      <c r="R33" s="1"/>
      <c r="S33" s="1"/>
      <c r="T33" s="1"/>
    </row>
    <row r="34" spans="1:2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sheetProtection/>
  <mergeCells count="27">
    <mergeCell ref="J27:K27"/>
    <mergeCell ref="J28:K28"/>
    <mergeCell ref="J29:K29"/>
    <mergeCell ref="J30:K30"/>
    <mergeCell ref="J25:K25"/>
    <mergeCell ref="J26:K26"/>
    <mergeCell ref="L25:M25"/>
    <mergeCell ref="L26:M26"/>
    <mergeCell ref="L31:M31"/>
    <mergeCell ref="J31:K31"/>
    <mergeCell ref="L27:M27"/>
    <mergeCell ref="L28:M28"/>
    <mergeCell ref="L29:M29"/>
    <mergeCell ref="L30:M30"/>
    <mergeCell ref="C3:Q4"/>
    <mergeCell ref="C7:E9"/>
    <mergeCell ref="O6:Q6"/>
    <mergeCell ref="C6:E6"/>
    <mergeCell ref="F6:H6"/>
    <mergeCell ref="I6:K6"/>
    <mergeCell ref="L6:N6"/>
    <mergeCell ref="B23:D23"/>
    <mergeCell ref="H23:K23"/>
    <mergeCell ref="F10:H12"/>
    <mergeCell ref="I13:K15"/>
    <mergeCell ref="L16:N18"/>
    <mergeCell ref="O19:Q21"/>
  </mergeCells>
  <conditionalFormatting sqref="P8 M8 G8 J8 D11 J11 M11 P11 P14 M14 G14 D14 D17 G17 J17 P17 M20 J20 G20 D20">
    <cfRule type="cellIs" priority="1" dxfId="8" operator="equal" stopIfTrue="1">
      <formula>0</formula>
    </cfRule>
    <cfRule type="cellIs" priority="2" dxfId="5" operator="equal" stopIfTrue="1">
      <formula>1</formula>
    </cfRule>
    <cfRule type="cellIs" priority="3" dxfId="9" operator="equal" stopIfTrue="1">
      <formula>2</formula>
    </cfRule>
  </conditionalFormatting>
  <printOptions horizontalCentered="1" verticalCentered="1"/>
  <pageMargins left="0.11811023622047198" right="0.196850393700787" top="0" bottom="0.275590551181102" header="0" footer="0.15748031496063"/>
  <pageSetup horizontalDpi="300" verticalDpi="300" orientation="landscape" paperSize="9" scale="8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B2:K21"/>
  <sheetViews>
    <sheetView zoomScale="50" zoomScaleNormal="50" zoomScalePageLayoutView="0" workbookViewId="0" topLeftCell="A1">
      <selection activeCell="G6" sqref="G6"/>
    </sheetView>
  </sheetViews>
  <sheetFormatPr defaultColWidth="11.5546875" defaultRowHeight="15"/>
  <cols>
    <col min="1" max="1" width="3.5546875" style="0" customWidth="1"/>
    <col min="2" max="2" width="6.3359375" style="0" bestFit="1" customWidth="1"/>
    <col min="4" max="4" width="14.4453125" style="0" customWidth="1"/>
    <col min="5" max="5" width="6.10546875" style="0" customWidth="1"/>
    <col min="11" max="11" width="19.5546875" style="0" customWidth="1"/>
  </cols>
  <sheetData>
    <row r="2" spans="8:9" ht="15.75">
      <c r="H2" s="167" t="str">
        <f>LOWER(modjeu)</f>
        <v>3 bandes</v>
      </c>
      <c r="I2" s="167"/>
    </row>
    <row r="3" spans="2:10" ht="15.75">
      <c r="B3" s="47" t="s">
        <v>54</v>
      </c>
      <c r="C3" t="s">
        <v>35</v>
      </c>
      <c r="D3" t="s">
        <v>55</v>
      </c>
      <c r="E3" s="47" t="s">
        <v>56</v>
      </c>
      <c r="F3" s="47" t="s">
        <v>57</v>
      </c>
      <c r="H3" s="167"/>
      <c r="I3" s="167"/>
      <c r="J3" t="b">
        <f>ISBLANK(D5)</f>
        <v>0</v>
      </c>
    </row>
    <row r="4" spans="2:8" ht="15">
      <c r="B4" s="47">
        <v>1</v>
      </c>
      <c r="C4" t="str">
        <f>UPPER(VLOOKUP(B4,init1,2,FALSE))</f>
        <v>SOCRATE</v>
      </c>
      <c r="D4">
        <f>UPPER(VLOOKUP(B4,init1,4,FALSE))</f>
      </c>
      <c r="E4" s="47" t="str">
        <f>IF(D4="MAZADES","oui","non")</f>
        <v>non</v>
      </c>
      <c r="F4" s="47" t="str">
        <f>IF(E4="oui",C4,"-")</f>
        <v>-</v>
      </c>
      <c r="H4" s="47" t="s">
        <v>59</v>
      </c>
    </row>
    <row r="5" spans="2:8" ht="15">
      <c r="B5" s="47">
        <v>2</v>
      </c>
      <c r="C5" t="str">
        <f>UPPER(VLOOKUP(B5,init1,2,FALSE))</f>
        <v>KANT</v>
      </c>
      <c r="D5">
        <f>UPPER(VLOOKUP(B5,init1,4,FALSE))</f>
      </c>
      <c r="E5" s="47" t="str">
        <f>IF(D5="MAZADES","oui","non")</f>
        <v>non</v>
      </c>
      <c r="F5" s="47" t="str">
        <f>IF(E5="oui",C5,"-")</f>
        <v>-</v>
      </c>
      <c r="H5" s="170"/>
    </row>
    <row r="6" spans="2:11" ht="15">
      <c r="B6" s="47">
        <v>3</v>
      </c>
      <c r="C6" t="str">
        <f>UPPER(VLOOKUP(B6,init1,2,FALSE))</f>
        <v>NIETZCHE</v>
      </c>
      <c r="D6">
        <f>UPPER(VLOOKUP(B6,init1,4,FALSE))</f>
      </c>
      <c r="E6" s="47" t="str">
        <f>IF(D6="MAZADES","oui","non")</f>
        <v>non</v>
      </c>
      <c r="F6" s="47" t="str">
        <f>IF(E6="oui",C6,"-")</f>
        <v>-</v>
      </c>
      <c r="H6" s="47"/>
      <c r="K6" s="171"/>
    </row>
    <row r="7" spans="2:6" ht="15">
      <c r="B7" s="47">
        <v>4</v>
      </c>
      <c r="C7" t="str">
        <f>UPPER(VLOOKUP(B7,init1,2,FALSE))</f>
        <v>DEBORD</v>
      </c>
      <c r="D7">
        <f>UPPER(VLOOKUP(B7,init1,4,FALSE))</f>
      </c>
      <c r="E7" s="47" t="str">
        <f>IF(D7="MAZADES","oui","non")</f>
        <v>non</v>
      </c>
      <c r="F7" s="47" t="str">
        <f>IF(E7="oui",C7,"-")</f>
        <v>-</v>
      </c>
    </row>
    <row r="8" spans="2:6" ht="15">
      <c r="B8" s="47">
        <v>5</v>
      </c>
      <c r="C8" t="str">
        <f>UPPER(VLOOKUP(B8,init1,2,FALSE))</f>
        <v>TORTAJADA</v>
      </c>
      <c r="D8">
        <f>UPPER(VLOOKUP(B8,init1,4,FALSE))</f>
      </c>
      <c r="E8" s="47" t="str">
        <f>IF(D8="MAZADES","oui","non")</f>
        <v>non</v>
      </c>
      <c r="F8" s="47" t="str">
        <f>IF(E8="oui",C8,"-")</f>
        <v>-</v>
      </c>
    </row>
    <row r="9" spans="6:11" ht="22.5" customHeight="1">
      <c r="F9" s="454" t="s">
        <v>60</v>
      </c>
      <c r="G9" s="455"/>
      <c r="H9" s="455"/>
      <c r="I9" s="455"/>
      <c r="J9" s="455"/>
      <c r="K9" s="456"/>
    </row>
    <row r="10" spans="6:11" ht="20.25">
      <c r="F10" s="457">
        <f>IF(F4="-","","C:\billard\saison en cours\fiches_individu\"&amp;$H$2&amp;"\"&amp;LOWER($F4)&amp;".xls")</f>
      </c>
      <c r="G10" s="457"/>
      <c r="H10" s="457"/>
      <c r="I10" s="457"/>
      <c r="J10" s="457"/>
      <c r="K10" s="457"/>
    </row>
    <row r="11" spans="6:11" ht="20.25">
      <c r="F11" s="457">
        <f>IF(F5="-","","C:\billard\saison en cours\fiches_individu\"&amp;$H$2&amp;"\"&amp;LOWER($F5)&amp;".xls")</f>
      </c>
      <c r="G11" s="457"/>
      <c r="H11" s="457"/>
      <c r="I11" s="457"/>
      <c r="J11" s="457"/>
      <c r="K11" s="457"/>
    </row>
    <row r="12" spans="6:11" ht="20.25">
      <c r="F12" s="457">
        <f>IF(F6="-","","C:\billard\saison en cours\fiches_individu\"&amp;$H$2&amp;"\"&amp;LOWER($F6)&amp;".xls")</f>
      </c>
      <c r="G12" s="457"/>
      <c r="H12" s="457"/>
      <c r="I12" s="457"/>
      <c r="J12" s="457"/>
      <c r="K12" s="457"/>
    </row>
    <row r="13" spans="6:11" ht="20.25">
      <c r="F13" s="457">
        <f>IF(F7="-","","C:\billard\saison en cours\fiches_individu\"&amp;$H$2&amp;"\"&amp;LOWER($F7)&amp;".xls")</f>
      </c>
      <c r="G13" s="457"/>
      <c r="H13" s="457"/>
      <c r="I13" s="457"/>
      <c r="J13" s="457"/>
      <c r="K13" s="457"/>
    </row>
    <row r="14" spans="4:11" ht="20.25">
      <c r="D14" s="47"/>
      <c r="F14" s="457">
        <f>IF(F8="-","","C:\billard\saison en cours\fiches_individu\"&amp;$H$2&amp;"\"&amp;LOWER($F8)&amp;".xls")</f>
      </c>
      <c r="G14" s="457"/>
      <c r="H14" s="457"/>
      <c r="I14" s="457"/>
      <c r="J14" s="457"/>
      <c r="K14" s="457"/>
    </row>
    <row r="17" spans="5:11" ht="20.25">
      <c r="E17">
        <v>1</v>
      </c>
      <c r="F17" s="168" t="str">
        <f>IF(F4="-","-","fiches_individu\"&amp;$H$2&amp;"\"&amp;LOWER($F4))</f>
        <v>-</v>
      </c>
      <c r="G17" s="168"/>
      <c r="H17" s="165"/>
      <c r="I17" s="165"/>
      <c r="J17" s="165"/>
      <c r="K17" s="165"/>
    </row>
    <row r="18" spans="5:11" ht="20.25">
      <c r="E18">
        <v>2</v>
      </c>
      <c r="F18" s="168" t="str">
        <f>IF(F5="-","-","fiches_individu\"&amp;$H$2&amp;"\"&amp;$F5)</f>
        <v>-</v>
      </c>
      <c r="G18" s="169"/>
      <c r="H18" s="85"/>
      <c r="J18" s="85" t="s">
        <v>58</v>
      </c>
      <c r="K18" s="85"/>
    </row>
    <row r="19" spans="5:11" ht="20.25">
      <c r="E19">
        <v>3</v>
      </c>
      <c r="F19" s="168" t="str">
        <f>IF(F6="-","-","fiches_individu\"&amp;$H$2&amp;"\"&amp;$F6)</f>
        <v>-</v>
      </c>
      <c r="G19" s="169"/>
      <c r="H19" s="85"/>
      <c r="J19" s="85" t="str">
        <f>F17</f>
        <v>-</v>
      </c>
      <c r="K19" s="85"/>
    </row>
    <row r="20" spans="5:11" ht="20.25">
      <c r="E20">
        <v>4</v>
      </c>
      <c r="F20" s="168" t="str">
        <f>IF(F7="-","-","fiches_individu\"&amp;$H$2&amp;"\"&amp;$F7)</f>
        <v>-</v>
      </c>
      <c r="G20" s="169"/>
      <c r="H20" s="85"/>
      <c r="I20" s="85"/>
      <c r="J20" s="85"/>
      <c r="K20" s="85"/>
    </row>
    <row r="21" spans="5:11" ht="20.25">
      <c r="E21">
        <v>5</v>
      </c>
      <c r="F21" s="168" t="str">
        <f>IF(F8="-","-","fiches_individu\"&amp;$H$2&amp;"\"&amp;$F8)</f>
        <v>-</v>
      </c>
      <c r="G21" s="169"/>
      <c r="H21" s="85"/>
      <c r="I21" s="85"/>
      <c r="J21" s="85"/>
      <c r="K21" s="85"/>
    </row>
  </sheetData>
  <sheetProtection/>
  <mergeCells count="6">
    <mergeCell ref="F9:K9"/>
    <mergeCell ref="F10:K10"/>
    <mergeCell ref="F13:K13"/>
    <mergeCell ref="F14:K14"/>
    <mergeCell ref="F11:K11"/>
    <mergeCell ref="F12:K1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T120"/>
  <sheetViews>
    <sheetView showGridLines="0" zoomScalePageLayoutView="0" workbookViewId="0" topLeftCell="A1">
      <selection activeCell="B1" sqref="B1:K1"/>
    </sheetView>
  </sheetViews>
  <sheetFormatPr defaultColWidth="11.5546875" defaultRowHeight="15"/>
  <cols>
    <col min="1" max="1" width="4.88671875" style="0" customWidth="1"/>
    <col min="2" max="2" width="3.99609375" style="0" customWidth="1"/>
    <col min="3" max="3" width="8.88671875" style="0" customWidth="1"/>
    <col min="4" max="4" width="12.6640625" style="0" customWidth="1"/>
    <col min="9" max="9" width="8.6640625" style="0" customWidth="1"/>
    <col min="10" max="10" width="6.4453125" style="0" customWidth="1"/>
    <col min="11" max="11" width="8.99609375" style="0" customWidth="1"/>
    <col min="12" max="12" width="18.77734375" style="0" customWidth="1"/>
    <col min="15" max="15" width="12.4453125" style="0" customWidth="1"/>
    <col min="17" max="17" width="7.88671875" style="0" bestFit="1" customWidth="1"/>
    <col min="18" max="18" width="4.88671875" style="0" customWidth="1"/>
    <col min="19" max="19" width="10.4453125" style="0" customWidth="1"/>
    <col min="20" max="20" width="9.3359375" style="0" customWidth="1"/>
  </cols>
  <sheetData>
    <row r="1" spans="2:11" ht="24" thickTop="1">
      <c r="B1" s="461" t="s">
        <v>39</v>
      </c>
      <c r="C1" s="462"/>
      <c r="D1" s="462"/>
      <c r="E1" s="462"/>
      <c r="F1" s="462"/>
      <c r="G1" s="462"/>
      <c r="H1" s="462"/>
      <c r="I1" s="462"/>
      <c r="J1" s="462"/>
      <c r="K1" s="463"/>
    </row>
    <row r="2" spans="2:11" ht="15">
      <c r="B2" s="78"/>
      <c r="C2" s="43"/>
      <c r="D2" s="43"/>
      <c r="E2" s="43"/>
      <c r="F2" s="43"/>
      <c r="G2" s="43"/>
      <c r="H2" s="43"/>
      <c r="I2" s="43"/>
      <c r="J2" s="43"/>
      <c r="K2" s="79"/>
    </row>
    <row r="3" spans="2:11" ht="16.5" thickBot="1">
      <c r="B3" s="80"/>
      <c r="C3" s="81" t="str">
        <f>design1</f>
        <v>REGIONALE 2</v>
      </c>
      <c r="D3" s="81"/>
      <c r="E3" s="98" t="str">
        <f>design2</f>
        <v>RANKING</v>
      </c>
      <c r="F3" s="99"/>
      <c r="G3" s="82" t="s">
        <v>40</v>
      </c>
      <c r="H3" s="83" t="str">
        <f>bill</f>
        <v>2m80</v>
      </c>
      <c r="I3" s="82" t="s">
        <v>41</v>
      </c>
      <c r="J3" s="83">
        <f>DISTANCE</f>
        <v>25</v>
      </c>
      <c r="K3" s="100" t="s">
        <v>25</v>
      </c>
    </row>
    <row r="4" ht="15.75" thickTop="1"/>
    <row r="5" ht="15">
      <c r="I5" s="84" t="str">
        <f>modjeu</f>
        <v>3 BANDES</v>
      </c>
    </row>
    <row r="6" ht="15">
      <c r="B6" s="85" t="s">
        <v>42</v>
      </c>
    </row>
    <row r="7" ht="15.75">
      <c r="C7" s="86">
        <v>1</v>
      </c>
    </row>
    <row r="8" spans="3:10" ht="15">
      <c r="C8" s="85" t="s">
        <v>15</v>
      </c>
      <c r="E8" s="85" t="s">
        <v>4</v>
      </c>
      <c r="G8" s="47" t="s">
        <v>5</v>
      </c>
      <c r="I8" s="459" t="s">
        <v>43</v>
      </c>
      <c r="J8" s="459"/>
    </row>
    <row r="9" spans="3:10" ht="15.75">
      <c r="C9" s="87" t="str">
        <f>VLOOKUP($C7,init1,2,FALSE)</f>
        <v>SOCRATE</v>
      </c>
      <c r="D9" s="87"/>
      <c r="E9" s="87">
        <f>VLOOKUP($C7,init1,3,FALSE)</f>
        <v>0</v>
      </c>
      <c r="F9" s="87"/>
      <c r="G9" s="88">
        <f>VLOOKUP($C7,init1,4,FALSE)</f>
        <v>0</v>
      </c>
      <c r="H9" s="87"/>
      <c r="I9" s="460">
        <f>VLOOKUP($C7,init1,5,FALSE)</f>
        <v>0</v>
      </c>
      <c r="J9" s="460"/>
    </row>
    <row r="11" ht="15.75" thickBot="1"/>
    <row r="12" spans="3:20" ht="15.75" thickBot="1">
      <c r="C12" s="109" t="s">
        <v>44</v>
      </c>
      <c r="D12" s="110" t="s">
        <v>45</v>
      </c>
      <c r="E12" s="111" t="s">
        <v>8</v>
      </c>
      <c r="F12" s="111" t="s">
        <v>12</v>
      </c>
      <c r="G12" s="111" t="s">
        <v>13</v>
      </c>
      <c r="H12" s="111" t="s">
        <v>14</v>
      </c>
      <c r="I12" s="111" t="s">
        <v>9</v>
      </c>
      <c r="J12" s="112" t="s">
        <v>46</v>
      </c>
      <c r="K12" s="43"/>
      <c r="M12" s="147" t="s">
        <v>53</v>
      </c>
      <c r="N12" s="148"/>
      <c r="O12" s="156" t="s">
        <v>35</v>
      </c>
      <c r="P12" s="157" t="s">
        <v>8</v>
      </c>
      <c r="Q12" s="159" t="s">
        <v>12</v>
      </c>
      <c r="R12" s="166"/>
      <c r="S12" s="162" t="s">
        <v>9</v>
      </c>
      <c r="T12" s="158" t="s">
        <v>52</v>
      </c>
    </row>
    <row r="13" spans="1:20" ht="15">
      <c r="A13" t="str">
        <f>C$7&amp;1</f>
        <v>11</v>
      </c>
      <c r="C13" s="89">
        <f>VLOOKUP($A13,trifin1,3,FALSE)</f>
        <v>3</v>
      </c>
      <c r="D13" s="113" t="str">
        <f>VLOOKUP($A13,trifin1,9,FALSE)</f>
        <v>TORTAJADA</v>
      </c>
      <c r="E13" s="90">
        <f>VLOOKUP($A13,trifin1,5,FALSE)</f>
      </c>
      <c r="F13" s="90">
        <f>VLOOKUP($A13,trifin1,6,FALSE)</f>
      </c>
      <c r="G13" s="347">
        <f>IF(F13="","",E13/F13)</f>
      </c>
      <c r="H13" s="348" t="str">
        <f>IF(E13=DISTANCE,G13,"-")</f>
        <v>-</v>
      </c>
      <c r="I13" s="90">
        <f>VLOOKUP($A13,trifin1,7,FALSE)</f>
      </c>
      <c r="J13" s="91">
        <f>VLOOKUP($A13,trifin1,8,FALSE)</f>
      </c>
      <c r="K13" s="43"/>
      <c r="L13">
        <v>1</v>
      </c>
      <c r="M13" s="143" t="s">
        <v>61</v>
      </c>
      <c r="N13" s="144"/>
      <c r="O13" s="149" t="str">
        <f aca="true" t="shared" si="0" ref="O13:Q16">D13</f>
        <v>TORTAJADA</v>
      </c>
      <c r="P13" s="150">
        <f t="shared" si="0"/>
      </c>
      <c r="Q13" s="160">
        <f t="shared" si="0"/>
      </c>
      <c r="R13" s="166"/>
      <c r="S13" s="163">
        <f>I13</f>
      </c>
      <c r="T13" s="151"/>
    </row>
    <row r="14" spans="1:20" ht="15">
      <c r="A14" t="str">
        <f>C$7&amp;2</f>
        <v>12</v>
      </c>
      <c r="C14" s="92">
        <f>VLOOKUP($A14,trifin1,3,FALSE)</f>
        <v>6</v>
      </c>
      <c r="D14" s="106" t="str">
        <f>VLOOKUP($A14,trifin1,9,FALSE)</f>
        <v>DEBORD</v>
      </c>
      <c r="E14" s="93">
        <f>VLOOKUP($A14,trifin1,5,FALSE)</f>
      </c>
      <c r="F14" s="93">
        <f>VLOOKUP($A14,trifin1,6,FALSE)</f>
      </c>
      <c r="G14" s="349">
        <f>IF(F14="","",E14/F14)</f>
      </c>
      <c r="H14" s="349" t="str">
        <f>IF(E14=DISTANCE,G14,"-")</f>
        <v>-</v>
      </c>
      <c r="I14" s="93">
        <f>VLOOKUP($A14,trifin1,7,FALSE)</f>
      </c>
      <c r="J14" s="94">
        <f>VLOOKUP($A14,trifin1,8,FALSE)</f>
      </c>
      <c r="K14" s="385"/>
      <c r="L14">
        <v>2</v>
      </c>
      <c r="M14" s="143" t="str">
        <f>design2</f>
        <v>RANKING</v>
      </c>
      <c r="N14" s="144"/>
      <c r="O14" s="149" t="str">
        <f t="shared" si="0"/>
        <v>DEBORD</v>
      </c>
      <c r="P14" s="150">
        <f t="shared" si="0"/>
      </c>
      <c r="Q14" s="160">
        <f t="shared" si="0"/>
      </c>
      <c r="R14" s="166"/>
      <c r="S14" s="163">
        <f>I14</f>
      </c>
      <c r="T14" s="152" t="str">
        <f>F19</f>
        <v>2ème</v>
      </c>
    </row>
    <row r="15" spans="1:20" ht="15">
      <c r="A15" t="str">
        <f>C$7&amp;3</f>
        <v>13</v>
      </c>
      <c r="C15" s="92">
        <f>VLOOKUP($A15,trifin1,3,FALSE)</f>
        <v>8</v>
      </c>
      <c r="D15" s="106" t="str">
        <f>VLOOKUP($A15,trifin1,9,FALSE)</f>
        <v>NIETZCHE</v>
      </c>
      <c r="E15" s="93">
        <f>VLOOKUP($A15,trifin1,5,FALSE)</f>
      </c>
      <c r="F15" s="93">
        <f>VLOOKUP($A15,trifin1,6,FALSE)</f>
      </c>
      <c r="G15" s="349">
        <f>IF(F15="","",E15/F15)</f>
      </c>
      <c r="H15" s="349" t="str">
        <f>IF(E15=DISTANCE,G15,"-")</f>
        <v>-</v>
      </c>
      <c r="I15" s="93">
        <f>VLOOKUP($A15,trifin1,7,FALSE)</f>
      </c>
      <c r="J15" s="94">
        <f>VLOOKUP($A15,trifin1,8,FALSE)</f>
      </c>
      <c r="K15" s="386"/>
      <c r="L15">
        <v>3</v>
      </c>
      <c r="M15" s="143" t="str">
        <f>dat</f>
        <v>Les 17 et 18 novembre 2007</v>
      </c>
      <c r="N15" s="144"/>
      <c r="O15" s="149" t="str">
        <f t="shared" si="0"/>
        <v>NIETZCHE</v>
      </c>
      <c r="P15" s="150">
        <f t="shared" si="0"/>
      </c>
      <c r="Q15" s="160">
        <f t="shared" si="0"/>
      </c>
      <c r="R15" s="166"/>
      <c r="S15" s="163">
        <f>I15</f>
      </c>
      <c r="T15" s="151"/>
    </row>
    <row r="16" spans="1:20" ht="15.75" thickBot="1">
      <c r="A16" t="str">
        <f>C$7&amp;4</f>
        <v>14</v>
      </c>
      <c r="C16" s="105">
        <f>VLOOKUP($A16,trifin1,3,FALSE)</f>
        <v>9</v>
      </c>
      <c r="D16" s="107" t="str">
        <f>VLOOKUP($A16,trifin1,9,FALSE)</f>
        <v>KANT</v>
      </c>
      <c r="E16" s="95">
        <f>VLOOKUP($A16,trifin1,5,FALSE)</f>
      </c>
      <c r="F16" s="95">
        <f>VLOOKUP($A16,trifin1,6,FALSE)</f>
      </c>
      <c r="G16" s="350">
        <f>IF(F16="","",E16/F16)</f>
      </c>
      <c r="H16" s="350" t="str">
        <f>IF(E16=DISTANCE,G16,"-")</f>
        <v>-</v>
      </c>
      <c r="I16" s="95">
        <f>VLOOKUP($A16,trifin1,7,FALSE)</f>
      </c>
      <c r="J16" s="96">
        <f>VLOOKUP($A16,trifin1,8,FALSE)</f>
      </c>
      <c r="K16" s="386"/>
      <c r="L16">
        <v>4</v>
      </c>
      <c r="M16" s="145" t="s">
        <v>61</v>
      </c>
      <c r="N16" s="146"/>
      <c r="O16" s="153" t="str">
        <f t="shared" si="0"/>
        <v>KANT</v>
      </c>
      <c r="P16" s="154">
        <f t="shared" si="0"/>
      </c>
      <c r="Q16" s="161">
        <f t="shared" si="0"/>
      </c>
      <c r="R16" s="166"/>
      <c r="S16" s="164">
        <f>I16</f>
      </c>
      <c r="T16" s="155"/>
    </row>
    <row r="17" spans="3:11" ht="15.75" thickBot="1">
      <c r="C17" s="101"/>
      <c r="D17" s="108" t="s">
        <v>47</v>
      </c>
      <c r="E17" s="102">
        <f>SUM(E13:E16)</f>
        <v>0</v>
      </c>
      <c r="F17" s="102">
        <f>SUM(F13:F16)</f>
        <v>0</v>
      </c>
      <c r="G17" s="351">
        <f>IF(F17=0,"",E17/F17)</f>
      </c>
      <c r="H17" s="351">
        <f>MAX(H13:H16)</f>
        <v>0</v>
      </c>
      <c r="I17" s="103">
        <f>MAX(I13:I16)</f>
        <v>0</v>
      </c>
      <c r="J17" s="104">
        <f>SUM(J13:J16)</f>
        <v>0</v>
      </c>
      <c r="K17" s="386"/>
    </row>
    <row r="19" spans="3:6" ht="15.75">
      <c r="C19" s="458" t="s">
        <v>48</v>
      </c>
      <c r="D19" s="458"/>
      <c r="E19" s="458"/>
      <c r="F19" s="86" t="str">
        <f>VLOOKUP($C9,clasfin,9,FALSE)</f>
        <v>2ème</v>
      </c>
    </row>
    <row r="21" spans="3:8" ht="23.25">
      <c r="C21" s="97" t="str">
        <f>lieue</f>
        <v>Billard Club Ruthénois</v>
      </c>
      <c r="D21" s="97"/>
      <c r="E21" s="97"/>
      <c r="F21" s="97"/>
      <c r="H21" s="87" t="str">
        <f>dat</f>
        <v>Les 17 et 18 novembre 2007</v>
      </c>
    </row>
    <row r="24" ht="15.75" thickBot="1"/>
    <row r="25" spans="2:11" ht="24" thickTop="1">
      <c r="B25" s="461" t="s">
        <v>39</v>
      </c>
      <c r="C25" s="462"/>
      <c r="D25" s="462"/>
      <c r="E25" s="462"/>
      <c r="F25" s="462"/>
      <c r="G25" s="462"/>
      <c r="H25" s="462"/>
      <c r="I25" s="462"/>
      <c r="J25" s="462"/>
      <c r="K25" s="463"/>
    </row>
    <row r="26" spans="2:11" ht="15">
      <c r="B26" s="78"/>
      <c r="C26" s="43"/>
      <c r="D26" s="43"/>
      <c r="E26" s="43"/>
      <c r="F26" s="43"/>
      <c r="G26" s="43"/>
      <c r="H26" s="43"/>
      <c r="I26" s="43"/>
      <c r="J26" s="43"/>
      <c r="K26" s="79"/>
    </row>
    <row r="27" spans="2:11" ht="16.5" thickBot="1">
      <c r="B27" s="80"/>
      <c r="C27" s="81" t="str">
        <f>design1</f>
        <v>REGIONALE 2</v>
      </c>
      <c r="D27" s="81"/>
      <c r="E27" s="98" t="str">
        <f>design2</f>
        <v>RANKING</v>
      </c>
      <c r="F27" s="99"/>
      <c r="G27" s="82" t="s">
        <v>40</v>
      </c>
      <c r="H27" s="83" t="str">
        <f>bill</f>
        <v>2m80</v>
      </c>
      <c r="I27" s="82" t="s">
        <v>41</v>
      </c>
      <c r="J27" s="83">
        <f>DISTANCE</f>
        <v>25</v>
      </c>
      <c r="K27" s="100" t="s">
        <v>25</v>
      </c>
    </row>
    <row r="28" ht="15.75" thickTop="1"/>
    <row r="29" ht="15">
      <c r="I29" s="84" t="str">
        <f>modjeu</f>
        <v>3 BANDES</v>
      </c>
    </row>
    <row r="30" ht="15">
      <c r="B30" s="85" t="s">
        <v>42</v>
      </c>
    </row>
    <row r="31" ht="15.75">
      <c r="C31" s="86">
        <v>2</v>
      </c>
    </row>
    <row r="32" spans="3:10" ht="15">
      <c r="C32" s="85" t="s">
        <v>15</v>
      </c>
      <c r="E32" s="85" t="s">
        <v>4</v>
      </c>
      <c r="G32" s="47" t="s">
        <v>5</v>
      </c>
      <c r="I32" s="459" t="s">
        <v>43</v>
      </c>
      <c r="J32" s="459"/>
    </row>
    <row r="33" spans="3:10" ht="15.75">
      <c r="C33" s="87" t="str">
        <f>VLOOKUP($C31,init1,2,FALSE)</f>
        <v>KANT</v>
      </c>
      <c r="D33" s="87"/>
      <c r="E33" s="87">
        <f>VLOOKUP($C31,init1,3,FALSE)</f>
        <v>0</v>
      </c>
      <c r="F33" s="87"/>
      <c r="G33" s="88">
        <f>VLOOKUP($C31,init1,4,FALSE)</f>
        <v>0</v>
      </c>
      <c r="H33" s="87"/>
      <c r="I33" s="460">
        <f>VLOOKUP($C31,init1,5,FALSE)</f>
        <v>0</v>
      </c>
      <c r="J33" s="460"/>
    </row>
    <row r="35" ht="15.75" thickBot="1"/>
    <row r="36" spans="3:20" ht="15.75" thickBot="1">
      <c r="C36" s="109" t="s">
        <v>44</v>
      </c>
      <c r="D36" s="110" t="s">
        <v>45</v>
      </c>
      <c r="E36" s="111" t="s">
        <v>8</v>
      </c>
      <c r="F36" s="111" t="s">
        <v>12</v>
      </c>
      <c r="G36" s="111" t="s">
        <v>13</v>
      </c>
      <c r="H36" s="111" t="s">
        <v>14</v>
      </c>
      <c r="I36" s="111" t="s">
        <v>9</v>
      </c>
      <c r="J36" s="112" t="s">
        <v>46</v>
      </c>
      <c r="K36" s="43"/>
      <c r="M36" s="147" t="s">
        <v>53</v>
      </c>
      <c r="N36" s="148"/>
      <c r="O36" s="156" t="s">
        <v>35</v>
      </c>
      <c r="P36" s="157" t="s">
        <v>8</v>
      </c>
      <c r="Q36" s="159" t="s">
        <v>12</v>
      </c>
      <c r="R36" s="166"/>
      <c r="S36" s="162" t="s">
        <v>9</v>
      </c>
      <c r="T36" s="158" t="s">
        <v>52</v>
      </c>
    </row>
    <row r="37" spans="1:20" ht="15">
      <c r="A37" t="str">
        <f>C$31&amp;1</f>
        <v>21</v>
      </c>
      <c r="C37" s="89">
        <f>VLOOKUP($A37,trifin1,3,FALSE)</f>
        <v>2</v>
      </c>
      <c r="D37" s="113" t="str">
        <f>VLOOKUP($A37,trifin1,9,FALSE)</f>
        <v>TORTAJADA</v>
      </c>
      <c r="E37" s="90">
        <f>VLOOKUP($A37,trifin1,5,FALSE)</f>
      </c>
      <c r="F37" s="90">
        <f>VLOOKUP($A37,trifin1,6,FALSE)</f>
      </c>
      <c r="G37" s="347">
        <f>IF(F37="","",E37/F37)</f>
      </c>
      <c r="H37" s="348" t="str">
        <f>IF(E37=DISTANCE,G37,"-")</f>
        <v>-</v>
      </c>
      <c r="I37" s="90">
        <f>VLOOKUP($A37,trifin1,7,FALSE)</f>
      </c>
      <c r="J37" s="91">
        <f>VLOOKUP($A37,trifin1,8,FALSE)</f>
      </c>
      <c r="K37" s="43"/>
      <c r="L37">
        <v>1</v>
      </c>
      <c r="M37" s="143" t="s">
        <v>61</v>
      </c>
      <c r="N37" s="144"/>
      <c r="O37" s="149" t="str">
        <f aca="true" t="shared" si="1" ref="O37:Q40">D37</f>
        <v>TORTAJADA</v>
      </c>
      <c r="P37" s="150">
        <f t="shared" si="1"/>
      </c>
      <c r="Q37" s="160">
        <f t="shared" si="1"/>
      </c>
      <c r="R37" s="166"/>
      <c r="S37" s="163">
        <f>I37</f>
      </c>
      <c r="T37" s="151"/>
    </row>
    <row r="38" spans="1:20" ht="15">
      <c r="A38" t="str">
        <f>C$31&amp;2</f>
        <v>22</v>
      </c>
      <c r="C38" s="92">
        <f>VLOOKUP($A38,trifin1,3,FALSE)</f>
        <v>4</v>
      </c>
      <c r="D38" s="106" t="str">
        <f>VLOOKUP($A38,trifin1,9,FALSE)</f>
        <v>NIETZCHE</v>
      </c>
      <c r="E38" s="93">
        <f>VLOOKUP($A38,trifin1,5,FALSE)</f>
      </c>
      <c r="F38" s="93">
        <f>VLOOKUP($A38,trifin1,6,FALSE)</f>
      </c>
      <c r="G38" s="349">
        <f>IF(F38="","",E38/F38)</f>
      </c>
      <c r="H38" s="349" t="str">
        <f>IF(E38=DISTANCE,G38,"-")</f>
        <v>-</v>
      </c>
      <c r="I38" s="93">
        <f>VLOOKUP($A38,trifin1,7,FALSE)</f>
      </c>
      <c r="J38" s="94">
        <f>VLOOKUP($A38,trifin1,8,FALSE)</f>
      </c>
      <c r="K38" s="385"/>
      <c r="L38">
        <v>2</v>
      </c>
      <c r="M38" s="143" t="str">
        <f>design2</f>
        <v>RANKING</v>
      </c>
      <c r="N38" s="144"/>
      <c r="O38" s="149" t="str">
        <f t="shared" si="1"/>
        <v>NIETZCHE</v>
      </c>
      <c r="P38" s="150">
        <f t="shared" si="1"/>
      </c>
      <c r="Q38" s="160">
        <f t="shared" si="1"/>
      </c>
      <c r="R38" s="166"/>
      <c r="S38" s="163">
        <f>I38</f>
      </c>
      <c r="T38" s="152" t="str">
        <f>F43</f>
        <v>3ème</v>
      </c>
    </row>
    <row r="39" spans="1:20" ht="15">
      <c r="A39" t="str">
        <f>C$31&amp;3</f>
        <v>23</v>
      </c>
      <c r="C39" s="92">
        <f>VLOOKUP($A39,trifin1,3,FALSE)</f>
        <v>7</v>
      </c>
      <c r="D39" s="106" t="str">
        <f>VLOOKUP($A39,trifin1,9,FALSE)</f>
        <v>DEBORD</v>
      </c>
      <c r="E39" s="93">
        <f>VLOOKUP($A39,trifin1,5,FALSE)</f>
      </c>
      <c r="F39" s="93">
        <f>VLOOKUP($A39,trifin1,6,FALSE)</f>
      </c>
      <c r="G39" s="349">
        <f>IF(F39="","",E39/F39)</f>
      </c>
      <c r="H39" s="349" t="str">
        <f>IF(E39=DISTANCE,G39,"-")</f>
        <v>-</v>
      </c>
      <c r="I39" s="93">
        <f>VLOOKUP($A39,trifin1,7,FALSE)</f>
      </c>
      <c r="J39" s="94">
        <f>VLOOKUP($A39,trifin1,8,FALSE)</f>
      </c>
      <c r="K39" s="386"/>
      <c r="L39">
        <v>3</v>
      </c>
      <c r="M39" s="143" t="str">
        <f>dat</f>
        <v>Les 17 et 18 novembre 2007</v>
      </c>
      <c r="N39" s="144"/>
      <c r="O39" s="149" t="str">
        <f t="shared" si="1"/>
        <v>DEBORD</v>
      </c>
      <c r="P39" s="150">
        <f t="shared" si="1"/>
      </c>
      <c r="Q39" s="160">
        <f t="shared" si="1"/>
      </c>
      <c r="R39" s="166"/>
      <c r="S39" s="163">
        <f>I39</f>
      </c>
      <c r="T39" s="151"/>
    </row>
    <row r="40" spans="1:20" ht="15.75" thickBot="1">
      <c r="A40" t="str">
        <f>C$31&amp;4</f>
        <v>24</v>
      </c>
      <c r="C40" s="105">
        <f>VLOOKUP($A40,trifin1,3,FALSE)</f>
        <v>9</v>
      </c>
      <c r="D40" s="107" t="str">
        <f>VLOOKUP($A40,trifin1,9,FALSE)</f>
        <v>SOCRATE</v>
      </c>
      <c r="E40" s="95">
        <f>VLOOKUP($A40,trifin1,5,FALSE)</f>
      </c>
      <c r="F40" s="95">
        <f>VLOOKUP($A40,trifin1,6,FALSE)</f>
      </c>
      <c r="G40" s="350">
        <f>IF(F40="","",E40/F40)</f>
      </c>
      <c r="H40" s="350" t="str">
        <f>IF(E40=DISTANCE,G40,"-")</f>
        <v>-</v>
      </c>
      <c r="I40" s="95">
        <f>VLOOKUP($A40,trifin1,7,FALSE)</f>
      </c>
      <c r="J40" s="96">
        <f>VLOOKUP($A40,trifin1,8,FALSE)</f>
      </c>
      <c r="K40" s="386"/>
      <c r="L40">
        <v>4</v>
      </c>
      <c r="M40" s="145" t="s">
        <v>61</v>
      </c>
      <c r="N40" s="146"/>
      <c r="O40" s="153" t="str">
        <f t="shared" si="1"/>
        <v>SOCRATE</v>
      </c>
      <c r="P40" s="154">
        <f t="shared" si="1"/>
      </c>
      <c r="Q40" s="161">
        <f t="shared" si="1"/>
      </c>
      <c r="R40" s="166"/>
      <c r="S40" s="164">
        <f>I40</f>
      </c>
      <c r="T40" s="155"/>
    </row>
    <row r="41" spans="3:11" ht="15.75" thickBot="1">
      <c r="C41" s="101"/>
      <c r="D41" s="108" t="s">
        <v>47</v>
      </c>
      <c r="E41" s="102">
        <f>SUM(E37:E40)</f>
        <v>0</v>
      </c>
      <c r="F41" s="102">
        <f>SUM(F37:F40)</f>
        <v>0</v>
      </c>
      <c r="G41" s="351">
        <f>IF(F41=0,"",E41/F41)</f>
      </c>
      <c r="H41" s="351">
        <f>MAX(H37:H40)</f>
        <v>0</v>
      </c>
      <c r="I41" s="103">
        <f>MAX(I37:I40)</f>
        <v>0</v>
      </c>
      <c r="J41" s="104">
        <f>SUM(J37:J40)</f>
        <v>0</v>
      </c>
      <c r="K41" s="386"/>
    </row>
    <row r="43" spans="3:6" ht="15.75">
      <c r="C43" s="458" t="s">
        <v>48</v>
      </c>
      <c r="D43" s="458"/>
      <c r="E43" s="458"/>
      <c r="F43" s="86" t="str">
        <f>VLOOKUP($C33,clasfin,9,FALSE)</f>
        <v>3ème</v>
      </c>
    </row>
    <row r="45" spans="3:8" ht="23.25">
      <c r="C45" s="97" t="str">
        <f>lieue</f>
        <v>Billard Club Ruthénois</v>
      </c>
      <c r="D45" s="97"/>
      <c r="E45" s="97"/>
      <c r="F45" s="97"/>
      <c r="H45" s="87" t="str">
        <f>dat</f>
        <v>Les 17 et 18 novembre 2007</v>
      </c>
    </row>
    <row r="49" ht="15.75" thickBot="1"/>
    <row r="50" spans="2:11" ht="24" thickTop="1">
      <c r="B50" s="461" t="s">
        <v>39</v>
      </c>
      <c r="C50" s="462"/>
      <c r="D50" s="462"/>
      <c r="E50" s="462"/>
      <c r="F50" s="462"/>
      <c r="G50" s="462"/>
      <c r="H50" s="462"/>
      <c r="I50" s="462"/>
      <c r="J50" s="462"/>
      <c r="K50" s="463"/>
    </row>
    <row r="51" spans="2:11" ht="15">
      <c r="B51" s="78"/>
      <c r="C51" s="43"/>
      <c r="D51" s="43"/>
      <c r="E51" s="43"/>
      <c r="F51" s="43"/>
      <c r="G51" s="43"/>
      <c r="H51" s="43"/>
      <c r="I51" s="43"/>
      <c r="J51" s="43"/>
      <c r="K51" s="79"/>
    </row>
    <row r="52" spans="2:11" ht="16.5" thickBot="1">
      <c r="B52" s="80"/>
      <c r="C52" s="81" t="str">
        <f>design1</f>
        <v>REGIONALE 2</v>
      </c>
      <c r="D52" s="81"/>
      <c r="E52" s="98" t="str">
        <f>design2</f>
        <v>RANKING</v>
      </c>
      <c r="F52" s="99"/>
      <c r="G52" s="82" t="s">
        <v>40</v>
      </c>
      <c r="H52" s="83" t="str">
        <f>bill</f>
        <v>2m80</v>
      </c>
      <c r="I52" s="82" t="s">
        <v>41</v>
      </c>
      <c r="J52" s="83">
        <f>DISTANCE</f>
        <v>25</v>
      </c>
      <c r="K52" s="100" t="s">
        <v>25</v>
      </c>
    </row>
    <row r="53" ht="15.75" thickTop="1"/>
    <row r="54" ht="15">
      <c r="I54" s="84" t="str">
        <f>modjeu</f>
        <v>3 BANDES</v>
      </c>
    </row>
    <row r="55" ht="15">
      <c r="B55" s="85" t="s">
        <v>42</v>
      </c>
    </row>
    <row r="56" ht="15.75">
      <c r="C56" s="86">
        <v>3</v>
      </c>
    </row>
    <row r="57" spans="3:10" ht="15">
      <c r="C57" s="85" t="s">
        <v>15</v>
      </c>
      <c r="E57" s="85" t="s">
        <v>4</v>
      </c>
      <c r="G57" s="47" t="s">
        <v>5</v>
      </c>
      <c r="I57" s="459" t="s">
        <v>43</v>
      </c>
      <c r="J57" s="459"/>
    </row>
    <row r="58" spans="3:10" ht="15.75">
      <c r="C58" s="87" t="str">
        <f>VLOOKUP($C56,init1,2,FALSE)</f>
        <v>NIETZCHE</v>
      </c>
      <c r="D58" s="87"/>
      <c r="E58" s="87">
        <f>VLOOKUP($C56,init1,3,FALSE)</f>
        <v>0</v>
      </c>
      <c r="F58" s="87"/>
      <c r="G58" s="88">
        <f>VLOOKUP($C56,init1,4,FALSE)</f>
        <v>0</v>
      </c>
      <c r="H58" s="87"/>
      <c r="I58" s="460">
        <f>VLOOKUP($C56,init1,5,FALSE)</f>
        <v>0</v>
      </c>
      <c r="J58" s="460"/>
    </row>
    <row r="60" ht="15.75" thickBot="1"/>
    <row r="61" spans="3:20" ht="15.75" thickBot="1">
      <c r="C61" s="109" t="s">
        <v>44</v>
      </c>
      <c r="D61" s="110" t="s">
        <v>45</v>
      </c>
      <c r="E61" s="111" t="s">
        <v>8</v>
      </c>
      <c r="F61" s="111" t="s">
        <v>12</v>
      </c>
      <c r="G61" s="111" t="s">
        <v>13</v>
      </c>
      <c r="H61" s="111" t="s">
        <v>14</v>
      </c>
      <c r="I61" s="111" t="s">
        <v>9</v>
      </c>
      <c r="J61" s="112" t="s">
        <v>46</v>
      </c>
      <c r="K61" s="43"/>
      <c r="M61" s="147" t="s">
        <v>53</v>
      </c>
      <c r="N61" s="148"/>
      <c r="O61" s="156" t="s">
        <v>35</v>
      </c>
      <c r="P61" s="157" t="s">
        <v>8</v>
      </c>
      <c r="Q61" s="159" t="s">
        <v>12</v>
      </c>
      <c r="R61" s="166"/>
      <c r="S61" s="162" t="s">
        <v>9</v>
      </c>
      <c r="T61" s="158" t="s">
        <v>52</v>
      </c>
    </row>
    <row r="62" spans="1:20" ht="15">
      <c r="A62" t="str">
        <f>C$56&amp;1</f>
        <v>31</v>
      </c>
      <c r="C62" s="89">
        <f>VLOOKUP($A62,trifin1,3,FALSE)</f>
        <v>1</v>
      </c>
      <c r="D62" s="113" t="str">
        <f>VLOOKUP($A62,trifin1,9,FALSE)</f>
        <v>DEBORD</v>
      </c>
      <c r="E62" s="90">
        <f>VLOOKUP($A62,trifin1,5,FALSE)</f>
      </c>
      <c r="F62" s="90">
        <f>VLOOKUP($A62,trifin1,6,FALSE)</f>
      </c>
      <c r="G62" s="347">
        <f>IF(F62="","",E62/F62)</f>
      </c>
      <c r="H62" s="348" t="str">
        <f>IF(E62=DISTANCE,G62,"-")</f>
        <v>-</v>
      </c>
      <c r="I62" s="90">
        <f>VLOOKUP($A62,trifin1,7,FALSE)</f>
      </c>
      <c r="J62" s="91">
        <f>VLOOKUP($A62,trifin1,8,FALSE)</f>
      </c>
      <c r="K62" s="43"/>
      <c r="L62">
        <v>1</v>
      </c>
      <c r="M62" s="143" t="s">
        <v>61</v>
      </c>
      <c r="N62" s="144"/>
      <c r="O62" s="149" t="str">
        <f aca="true" t="shared" si="2" ref="O62:Q65">D62</f>
        <v>DEBORD</v>
      </c>
      <c r="P62" s="150">
        <f t="shared" si="2"/>
      </c>
      <c r="Q62" s="160">
        <f t="shared" si="2"/>
      </c>
      <c r="R62" s="166"/>
      <c r="S62" s="163">
        <f>I62</f>
      </c>
      <c r="T62" s="151"/>
    </row>
    <row r="63" spans="1:20" ht="15">
      <c r="A63" t="str">
        <f>C$56&amp;2</f>
        <v>32</v>
      </c>
      <c r="C63" s="92">
        <f>VLOOKUP($A63,trifin1,3,FALSE)</f>
        <v>4</v>
      </c>
      <c r="D63" s="106" t="str">
        <f>VLOOKUP($A63,trifin1,9,FALSE)</f>
        <v>KANT</v>
      </c>
      <c r="E63" s="93">
        <f>VLOOKUP($A63,trifin1,5,FALSE)</f>
      </c>
      <c r="F63" s="93">
        <f>VLOOKUP($A63,trifin1,6,FALSE)</f>
      </c>
      <c r="G63" s="349">
        <f>IF(F63="","",E63/F63)</f>
      </c>
      <c r="H63" s="349" t="str">
        <f>IF(E63=DISTANCE,G63,"-")</f>
        <v>-</v>
      </c>
      <c r="I63" s="93">
        <f>VLOOKUP($A63,trifin1,7,FALSE)</f>
      </c>
      <c r="J63" s="94">
        <f>VLOOKUP($A63,trifin1,8,FALSE)</f>
      </c>
      <c r="K63" s="385"/>
      <c r="L63">
        <v>2</v>
      </c>
      <c r="M63" s="143" t="str">
        <f>design2</f>
        <v>RANKING</v>
      </c>
      <c r="N63" s="144"/>
      <c r="O63" s="149" t="str">
        <f t="shared" si="2"/>
        <v>KANT</v>
      </c>
      <c r="P63" s="150">
        <f t="shared" si="2"/>
      </c>
      <c r="Q63" s="160">
        <f t="shared" si="2"/>
      </c>
      <c r="R63" s="166"/>
      <c r="S63" s="163">
        <f>I63</f>
      </c>
      <c r="T63" s="152" t="str">
        <f>F68</f>
        <v>5ème</v>
      </c>
    </row>
    <row r="64" spans="1:20" ht="15">
      <c r="A64" t="str">
        <f>C$56&amp;3</f>
        <v>33</v>
      </c>
      <c r="C64" s="92">
        <f>VLOOKUP($A64,trifin1,3,FALSE)</f>
        <v>5</v>
      </c>
      <c r="D64" s="106" t="str">
        <f>VLOOKUP($A64,trifin1,9,FALSE)</f>
        <v>TORTAJADA</v>
      </c>
      <c r="E64" s="93">
        <f>VLOOKUP($A64,trifin1,5,FALSE)</f>
      </c>
      <c r="F64" s="93">
        <f>VLOOKUP($A64,trifin1,6,FALSE)</f>
      </c>
      <c r="G64" s="349">
        <f>IF(F64="","",E64/F64)</f>
      </c>
      <c r="H64" s="349" t="str">
        <f>IF(E64=DISTANCE,G64,"-")</f>
        <v>-</v>
      </c>
      <c r="I64" s="93">
        <f>VLOOKUP($A64,trifin1,7,FALSE)</f>
      </c>
      <c r="J64" s="94">
        <f>VLOOKUP($A64,trifin1,8,FALSE)</f>
      </c>
      <c r="K64" s="386"/>
      <c r="L64">
        <v>3</v>
      </c>
      <c r="M64" s="143" t="str">
        <f>dat</f>
        <v>Les 17 et 18 novembre 2007</v>
      </c>
      <c r="N64" s="144"/>
      <c r="O64" s="149" t="str">
        <f t="shared" si="2"/>
        <v>TORTAJADA</v>
      </c>
      <c r="P64" s="150">
        <f t="shared" si="2"/>
      </c>
      <c r="Q64" s="160">
        <f t="shared" si="2"/>
      </c>
      <c r="R64" s="166"/>
      <c r="S64" s="163">
        <f>I64</f>
      </c>
      <c r="T64" s="151"/>
    </row>
    <row r="65" spans="1:20" ht="15.75" thickBot="1">
      <c r="A65" t="str">
        <f>C$56&amp;4</f>
        <v>34</v>
      </c>
      <c r="C65" s="105">
        <f>VLOOKUP($A65,trifin1,3,FALSE)</f>
        <v>8</v>
      </c>
      <c r="D65" s="107" t="str">
        <f>VLOOKUP($A65,trifin1,9,FALSE)</f>
        <v>SOCRATE</v>
      </c>
      <c r="E65" s="95">
        <f>VLOOKUP($A65,trifin1,5,FALSE)</f>
      </c>
      <c r="F65" s="95">
        <f>VLOOKUP($A65,trifin1,6,FALSE)</f>
      </c>
      <c r="G65" s="350">
        <f>IF(F65="","",E65/F65)</f>
      </c>
      <c r="H65" s="350" t="str">
        <f>IF(E65=DISTANCE,G65,"-")</f>
        <v>-</v>
      </c>
      <c r="I65" s="95">
        <f>VLOOKUP($A65,trifin1,7,FALSE)</f>
      </c>
      <c r="J65" s="96">
        <f>VLOOKUP($A65,trifin1,8,FALSE)</f>
      </c>
      <c r="K65" s="386"/>
      <c r="L65">
        <v>4</v>
      </c>
      <c r="M65" s="145" t="s">
        <v>61</v>
      </c>
      <c r="N65" s="146"/>
      <c r="O65" s="153" t="str">
        <f t="shared" si="2"/>
        <v>SOCRATE</v>
      </c>
      <c r="P65" s="154">
        <f t="shared" si="2"/>
      </c>
      <c r="Q65" s="161">
        <f t="shared" si="2"/>
      </c>
      <c r="R65" s="166"/>
      <c r="S65" s="164">
        <f>I65</f>
      </c>
      <c r="T65" s="155"/>
    </row>
    <row r="66" spans="3:11" ht="15.75" thickBot="1">
      <c r="C66" s="101"/>
      <c r="D66" s="108" t="s">
        <v>47</v>
      </c>
      <c r="E66" s="102">
        <f>SUM(E62:E65)</f>
        <v>0</v>
      </c>
      <c r="F66" s="102">
        <f>SUM(F62:F65)</f>
        <v>0</v>
      </c>
      <c r="G66" s="351">
        <f>IF(F66=0,"",E66/F66)</f>
      </c>
      <c r="H66" s="351">
        <f>MAX(H62:H65)</f>
        <v>0</v>
      </c>
      <c r="I66" s="103">
        <f>MAX(I62:I65)</f>
        <v>0</v>
      </c>
      <c r="J66" s="104">
        <f>SUM(J62:J65)</f>
        <v>0</v>
      </c>
      <c r="K66" s="386"/>
    </row>
    <row r="68" spans="3:6" ht="15.75">
      <c r="C68" s="458" t="s">
        <v>48</v>
      </c>
      <c r="D68" s="458"/>
      <c r="E68" s="458"/>
      <c r="F68" s="86" t="str">
        <f>VLOOKUP($C58,clasfin,9,FALSE)</f>
        <v>5ème</v>
      </c>
    </row>
    <row r="70" spans="3:8" ht="23.25">
      <c r="C70" s="97" t="str">
        <f>lieue</f>
        <v>Billard Club Ruthénois</v>
      </c>
      <c r="D70" s="97"/>
      <c r="E70" s="97"/>
      <c r="F70" s="97"/>
      <c r="H70" s="87" t="str">
        <f>dat</f>
        <v>Les 17 et 18 novembre 2007</v>
      </c>
    </row>
    <row r="73" ht="15.75" thickBot="1"/>
    <row r="74" spans="2:11" ht="24" thickTop="1">
      <c r="B74" s="461" t="s">
        <v>39</v>
      </c>
      <c r="C74" s="462"/>
      <c r="D74" s="462"/>
      <c r="E74" s="462"/>
      <c r="F74" s="462"/>
      <c r="G74" s="462"/>
      <c r="H74" s="462"/>
      <c r="I74" s="462"/>
      <c r="J74" s="462"/>
      <c r="K74" s="463"/>
    </row>
    <row r="75" spans="2:11" ht="15">
      <c r="B75" s="78"/>
      <c r="C75" s="43"/>
      <c r="D75" s="43"/>
      <c r="E75" s="43"/>
      <c r="F75" s="43"/>
      <c r="G75" s="43"/>
      <c r="H75" s="43"/>
      <c r="I75" s="43"/>
      <c r="J75" s="43"/>
      <c r="K75" s="79"/>
    </row>
    <row r="76" spans="2:11" ht="16.5" thickBot="1">
      <c r="B76" s="80"/>
      <c r="C76" s="81" t="str">
        <f>design1</f>
        <v>REGIONALE 2</v>
      </c>
      <c r="D76" s="81"/>
      <c r="E76" s="98" t="str">
        <f>design2</f>
        <v>RANKING</v>
      </c>
      <c r="F76" s="99"/>
      <c r="G76" s="82" t="s">
        <v>40</v>
      </c>
      <c r="H76" s="83" t="str">
        <f>bill</f>
        <v>2m80</v>
      </c>
      <c r="I76" s="82" t="s">
        <v>41</v>
      </c>
      <c r="J76" s="83">
        <f>DISTANCE</f>
        <v>25</v>
      </c>
      <c r="K76" s="100" t="s">
        <v>25</v>
      </c>
    </row>
    <row r="77" ht="15.75" thickTop="1"/>
    <row r="78" ht="15">
      <c r="I78" s="84" t="str">
        <f>modjeu</f>
        <v>3 BANDES</v>
      </c>
    </row>
    <row r="79" ht="15">
      <c r="B79" s="85" t="s">
        <v>42</v>
      </c>
    </row>
    <row r="80" ht="15.75">
      <c r="C80" s="86">
        <v>4</v>
      </c>
    </row>
    <row r="81" spans="3:10" ht="15">
      <c r="C81" s="85" t="s">
        <v>15</v>
      </c>
      <c r="E81" s="85" t="s">
        <v>4</v>
      </c>
      <c r="G81" s="47" t="s">
        <v>5</v>
      </c>
      <c r="I81" s="459" t="s">
        <v>43</v>
      </c>
      <c r="J81" s="459"/>
    </row>
    <row r="82" spans="3:10" ht="15.75">
      <c r="C82" s="87" t="str">
        <f>VLOOKUP($C80,init1,2,FALSE)</f>
        <v>DEBORD</v>
      </c>
      <c r="D82" s="87"/>
      <c r="E82" s="87">
        <f>VLOOKUP($C80,init1,3,FALSE)</f>
        <v>0</v>
      </c>
      <c r="F82" s="87"/>
      <c r="G82" s="88">
        <f>VLOOKUP($C80,init1,4,FALSE)</f>
        <v>0</v>
      </c>
      <c r="H82" s="87"/>
      <c r="I82" s="460">
        <f>VLOOKUP($C80,init1,5,FALSE)</f>
        <v>0</v>
      </c>
      <c r="J82" s="460"/>
    </row>
    <row r="84" ht="15.75" thickBot="1"/>
    <row r="85" spans="3:20" ht="15.75" thickBot="1">
      <c r="C85" s="109" t="s">
        <v>44</v>
      </c>
      <c r="D85" s="110" t="s">
        <v>45</v>
      </c>
      <c r="E85" s="111" t="s">
        <v>8</v>
      </c>
      <c r="F85" s="111" t="s">
        <v>12</v>
      </c>
      <c r="G85" s="111" t="s">
        <v>13</v>
      </c>
      <c r="H85" s="111" t="s">
        <v>14</v>
      </c>
      <c r="I85" s="111" t="s">
        <v>9</v>
      </c>
      <c r="J85" s="112" t="s">
        <v>46</v>
      </c>
      <c r="K85" s="43"/>
      <c r="M85" s="147" t="s">
        <v>53</v>
      </c>
      <c r="N85" s="148"/>
      <c r="O85" s="156" t="s">
        <v>35</v>
      </c>
      <c r="P85" s="157" t="s">
        <v>8</v>
      </c>
      <c r="Q85" s="159" t="s">
        <v>12</v>
      </c>
      <c r="R85" s="166"/>
      <c r="S85" s="162" t="s">
        <v>9</v>
      </c>
      <c r="T85" s="158" t="s">
        <v>52</v>
      </c>
    </row>
    <row r="86" spans="1:20" ht="15">
      <c r="A86" t="str">
        <f>C$80&amp;1</f>
        <v>41</v>
      </c>
      <c r="C86" s="89">
        <f>VLOOKUP($A86,trifin1,3,FALSE)</f>
        <v>1</v>
      </c>
      <c r="D86" s="113" t="str">
        <f>VLOOKUP($A86,trifin1,9,FALSE)</f>
        <v>NIETZCHE</v>
      </c>
      <c r="E86" s="90">
        <f>VLOOKUP($A86,trifin1,5,FALSE)</f>
      </c>
      <c r="F86" s="90">
        <f>VLOOKUP($A86,trifin1,6,FALSE)</f>
      </c>
      <c r="G86" s="347">
        <f>IF(F86="","",E86/F86)</f>
      </c>
      <c r="H86" s="348" t="str">
        <f>IF(E86=DISTANCE,G86,"-")</f>
        <v>-</v>
      </c>
      <c r="I86" s="90">
        <f>VLOOKUP($A86,trifin1,7,FALSE)</f>
      </c>
      <c r="J86" s="91">
        <f>VLOOKUP($A86,trifin1,8,FALSE)</f>
      </c>
      <c r="K86" s="43"/>
      <c r="L86">
        <v>1</v>
      </c>
      <c r="M86" s="143" t="s">
        <v>61</v>
      </c>
      <c r="N86" s="144"/>
      <c r="O86" s="149" t="str">
        <f aca="true" t="shared" si="3" ref="O86:Q89">D86</f>
        <v>NIETZCHE</v>
      </c>
      <c r="P86" s="150">
        <f t="shared" si="3"/>
      </c>
      <c r="Q86" s="160">
        <f t="shared" si="3"/>
      </c>
      <c r="R86" s="166"/>
      <c r="S86" s="163">
        <f>I86</f>
      </c>
      <c r="T86" s="151"/>
    </row>
    <row r="87" spans="1:20" ht="15">
      <c r="A87" t="str">
        <f>C$80&amp;2</f>
        <v>42</v>
      </c>
      <c r="C87" s="92">
        <f>VLOOKUP($A87,trifin1,3,FALSE)</f>
        <v>6</v>
      </c>
      <c r="D87" s="106" t="str">
        <f>VLOOKUP($A87,trifin1,9,FALSE)</f>
        <v>SOCRATE</v>
      </c>
      <c r="E87" s="93">
        <f>VLOOKUP($A87,trifin1,5,FALSE)</f>
      </c>
      <c r="F87" s="93">
        <f>VLOOKUP($A87,trifin1,6,FALSE)</f>
      </c>
      <c r="G87" s="349">
        <f>IF(F87="","",E87/F87)</f>
      </c>
      <c r="H87" s="349" t="str">
        <f>IF(E87=DISTANCE,G87,"-")</f>
        <v>-</v>
      </c>
      <c r="I87" s="93">
        <f>VLOOKUP($A87,trifin1,7,FALSE)</f>
      </c>
      <c r="J87" s="94">
        <f>VLOOKUP($A87,trifin1,8,FALSE)</f>
      </c>
      <c r="K87" s="385"/>
      <c r="L87">
        <v>2</v>
      </c>
      <c r="M87" s="143" t="str">
        <f>design2</f>
        <v>RANKING</v>
      </c>
      <c r="N87" s="144"/>
      <c r="O87" s="149" t="str">
        <f t="shared" si="3"/>
        <v>SOCRATE</v>
      </c>
      <c r="P87" s="150">
        <f t="shared" si="3"/>
      </c>
      <c r="Q87" s="160">
        <f t="shared" si="3"/>
      </c>
      <c r="R87" s="166"/>
      <c r="S87" s="163">
        <f>I87</f>
      </c>
      <c r="T87" s="152" t="str">
        <f>F92</f>
        <v>1er</v>
      </c>
    </row>
    <row r="88" spans="1:20" ht="15">
      <c r="A88" t="str">
        <f>C$80&amp;3</f>
        <v>43</v>
      </c>
      <c r="C88" s="92">
        <f>VLOOKUP($A88,trifin1,3,FALSE)</f>
        <v>7</v>
      </c>
      <c r="D88" s="106" t="str">
        <f>VLOOKUP($A88,trifin1,9,FALSE)</f>
        <v>KANT</v>
      </c>
      <c r="E88" s="93">
        <f>VLOOKUP($A88,trifin1,5,FALSE)</f>
      </c>
      <c r="F88" s="93">
        <f>VLOOKUP($A88,trifin1,6,FALSE)</f>
      </c>
      <c r="G88" s="349">
        <f>IF(F88="","",E88/F88)</f>
      </c>
      <c r="H88" s="349" t="str">
        <f>IF(E88=DISTANCE,G88,"-")</f>
        <v>-</v>
      </c>
      <c r="I88" s="93">
        <f>VLOOKUP($A88,trifin1,7,FALSE)</f>
      </c>
      <c r="J88" s="94">
        <f>VLOOKUP($A88,trifin1,8,FALSE)</f>
      </c>
      <c r="K88" s="386"/>
      <c r="L88">
        <v>3</v>
      </c>
      <c r="M88" s="143" t="str">
        <f>dat</f>
        <v>Les 17 et 18 novembre 2007</v>
      </c>
      <c r="N88" s="144"/>
      <c r="O88" s="149" t="str">
        <f t="shared" si="3"/>
        <v>KANT</v>
      </c>
      <c r="P88" s="150">
        <f t="shared" si="3"/>
      </c>
      <c r="Q88" s="160">
        <f t="shared" si="3"/>
      </c>
      <c r="R88" s="166"/>
      <c r="S88" s="163">
        <f>I88</f>
      </c>
      <c r="T88" s="151"/>
    </row>
    <row r="89" spans="1:20" ht="15.75" thickBot="1">
      <c r="A89" t="str">
        <f>C$80&amp;4</f>
        <v>44</v>
      </c>
      <c r="C89" s="105">
        <f>VLOOKUP($A89,trifin1,3,FALSE)</f>
        <v>10</v>
      </c>
      <c r="D89" s="107" t="str">
        <f>VLOOKUP($A89,trifin1,9,FALSE)</f>
        <v>TORTAJADA</v>
      </c>
      <c r="E89" s="95">
        <f>VLOOKUP($A89,trifin1,5,FALSE)</f>
      </c>
      <c r="F89" s="95">
        <f>VLOOKUP($A89,trifin1,6,FALSE)</f>
      </c>
      <c r="G89" s="350">
        <f>IF(F89="","",E89/F89)</f>
      </c>
      <c r="H89" s="350" t="str">
        <f>IF(E89=DISTANCE,G89,"-")</f>
        <v>-</v>
      </c>
      <c r="I89" s="95">
        <f>VLOOKUP($A89,trifin1,7,FALSE)</f>
      </c>
      <c r="J89" s="96">
        <f>VLOOKUP($A89,trifin1,8,FALSE)</f>
      </c>
      <c r="K89" s="386"/>
      <c r="L89">
        <v>4</v>
      </c>
      <c r="M89" s="145" t="s">
        <v>61</v>
      </c>
      <c r="N89" s="146"/>
      <c r="O89" s="153" t="str">
        <f t="shared" si="3"/>
        <v>TORTAJADA</v>
      </c>
      <c r="P89" s="154">
        <f t="shared" si="3"/>
      </c>
      <c r="Q89" s="161">
        <f t="shared" si="3"/>
      </c>
      <c r="R89" s="166"/>
      <c r="S89" s="164">
        <f>I89</f>
      </c>
      <c r="T89" s="155"/>
    </row>
    <row r="90" spans="3:11" ht="15.75" thickBot="1">
      <c r="C90" s="101"/>
      <c r="D90" s="108" t="s">
        <v>47</v>
      </c>
      <c r="E90" s="102">
        <f>SUM(E86:E89)</f>
        <v>0</v>
      </c>
      <c r="F90" s="102">
        <f>SUM(F86:F89)</f>
        <v>0</v>
      </c>
      <c r="G90" s="351">
        <f>IF(F90=0,"",E90/F90)</f>
      </c>
      <c r="H90" s="351">
        <f>MAX(H86:H89)</f>
        <v>0</v>
      </c>
      <c r="I90" s="103">
        <f>MAX(I86:I89)</f>
        <v>0</v>
      </c>
      <c r="J90" s="104">
        <f>SUM(J86:J89)</f>
        <v>0</v>
      </c>
      <c r="K90" s="386"/>
    </row>
    <row r="92" spans="3:6" ht="15.75">
      <c r="C92" s="458" t="s">
        <v>48</v>
      </c>
      <c r="D92" s="458"/>
      <c r="E92" s="458"/>
      <c r="F92" s="86" t="str">
        <f>VLOOKUP($C82,clasfin,9,FALSE)</f>
        <v>1er</v>
      </c>
    </row>
    <row r="94" spans="3:8" ht="23.25">
      <c r="C94" s="97" t="str">
        <f>lieue</f>
        <v>Billard Club Ruthénois</v>
      </c>
      <c r="D94" s="97"/>
      <c r="E94" s="97"/>
      <c r="F94" s="97"/>
      <c r="H94" s="87" t="str">
        <f>dat</f>
        <v>Les 17 et 18 novembre 2007</v>
      </c>
    </row>
    <row r="99" ht="15.75" thickBot="1"/>
    <row r="100" spans="2:11" ht="24" thickTop="1">
      <c r="B100" s="461" t="s">
        <v>39</v>
      </c>
      <c r="C100" s="462"/>
      <c r="D100" s="462"/>
      <c r="E100" s="462"/>
      <c r="F100" s="462"/>
      <c r="G100" s="462"/>
      <c r="H100" s="462"/>
      <c r="I100" s="462"/>
      <c r="J100" s="462"/>
      <c r="K100" s="463"/>
    </row>
    <row r="101" spans="2:11" ht="15">
      <c r="B101" s="78"/>
      <c r="C101" s="43"/>
      <c r="D101" s="43"/>
      <c r="E101" s="43"/>
      <c r="F101" s="43"/>
      <c r="G101" s="43"/>
      <c r="H101" s="43"/>
      <c r="I101" s="43"/>
      <c r="J101" s="43"/>
      <c r="K101" s="79"/>
    </row>
    <row r="102" spans="2:11" ht="16.5" thickBot="1">
      <c r="B102" s="80"/>
      <c r="C102" s="81" t="str">
        <f>design1</f>
        <v>REGIONALE 2</v>
      </c>
      <c r="D102" s="81"/>
      <c r="E102" s="98" t="str">
        <f>design2</f>
        <v>RANKING</v>
      </c>
      <c r="F102" s="99"/>
      <c r="G102" s="82" t="s">
        <v>40</v>
      </c>
      <c r="H102" s="83" t="str">
        <f>bill</f>
        <v>2m80</v>
      </c>
      <c r="I102" s="82" t="s">
        <v>41</v>
      </c>
      <c r="J102" s="83">
        <f>DISTANCE</f>
        <v>25</v>
      </c>
      <c r="K102" s="100" t="s">
        <v>25</v>
      </c>
    </row>
    <row r="103" ht="15.75" thickTop="1"/>
    <row r="104" ht="15">
      <c r="I104" s="84" t="str">
        <f>modjeu</f>
        <v>3 BANDES</v>
      </c>
    </row>
    <row r="105" ht="15">
      <c r="B105" s="85" t="s">
        <v>42</v>
      </c>
    </row>
    <row r="106" ht="15.75">
      <c r="C106" s="86">
        <v>5</v>
      </c>
    </row>
    <row r="107" spans="3:10" ht="15">
      <c r="C107" s="85" t="s">
        <v>15</v>
      </c>
      <c r="E107" s="85" t="s">
        <v>4</v>
      </c>
      <c r="G107" s="47" t="s">
        <v>5</v>
      </c>
      <c r="I107" s="459" t="s">
        <v>43</v>
      </c>
      <c r="J107" s="459"/>
    </row>
    <row r="108" spans="3:10" ht="15.75">
      <c r="C108" s="87" t="str">
        <f>VLOOKUP($C106,init1,2,FALSE)</f>
        <v>TORTAJADA</v>
      </c>
      <c r="D108" s="87"/>
      <c r="E108" s="87">
        <f>VLOOKUP($C106,init1,3,FALSE)</f>
        <v>0</v>
      </c>
      <c r="F108" s="87"/>
      <c r="G108" s="88">
        <f>VLOOKUP($C106,init1,4,FALSE)</f>
        <v>0</v>
      </c>
      <c r="H108" s="87"/>
      <c r="I108" s="460">
        <f>VLOOKUP($C106,init1,5,FALSE)</f>
        <v>0</v>
      </c>
      <c r="J108" s="460"/>
    </row>
    <row r="110" ht="15.75" thickBot="1"/>
    <row r="111" spans="3:20" ht="15.75" thickBot="1">
      <c r="C111" s="109" t="s">
        <v>44</v>
      </c>
      <c r="D111" s="110" t="s">
        <v>45</v>
      </c>
      <c r="E111" s="111" t="s">
        <v>8</v>
      </c>
      <c r="F111" s="111" t="s">
        <v>12</v>
      </c>
      <c r="G111" s="111" t="s">
        <v>13</v>
      </c>
      <c r="H111" s="111" t="s">
        <v>14</v>
      </c>
      <c r="I111" s="111" t="s">
        <v>9</v>
      </c>
      <c r="J111" s="112" t="s">
        <v>46</v>
      </c>
      <c r="K111" s="43"/>
      <c r="M111" s="147" t="s">
        <v>53</v>
      </c>
      <c r="N111" s="148"/>
      <c r="O111" s="156" t="s">
        <v>35</v>
      </c>
      <c r="P111" s="157" t="s">
        <v>8</v>
      </c>
      <c r="Q111" s="159" t="s">
        <v>12</v>
      </c>
      <c r="R111" s="166"/>
      <c r="S111" s="162" t="s">
        <v>9</v>
      </c>
      <c r="T111" s="158" t="s">
        <v>52</v>
      </c>
    </row>
    <row r="112" spans="1:20" ht="15">
      <c r="A112" t="str">
        <f>C$106&amp;1</f>
        <v>51</v>
      </c>
      <c r="C112" s="89">
        <f>VLOOKUP($A112,trifin1,3,FALSE)</f>
        <v>2</v>
      </c>
      <c r="D112" s="113" t="str">
        <f>VLOOKUP($A112,trifin1,9,FALSE)</f>
        <v>KANT</v>
      </c>
      <c r="E112" s="90">
        <f>VLOOKUP($A112,trifin1,5,FALSE)</f>
      </c>
      <c r="F112" s="90">
        <f>VLOOKUP($A112,trifin1,6,FALSE)</f>
      </c>
      <c r="G112" s="347">
        <f>IF(F112="","",E112/F112)</f>
      </c>
      <c r="H112" s="348" t="str">
        <f>IF(E112=DISTANCE,G112,"-")</f>
        <v>-</v>
      </c>
      <c r="I112" s="90">
        <f>VLOOKUP($A112,trifin1,7,FALSE)</f>
      </c>
      <c r="J112" s="91">
        <f>VLOOKUP($A112,trifin1,8,FALSE)</f>
      </c>
      <c r="K112" s="43"/>
      <c r="L112">
        <v>1</v>
      </c>
      <c r="M112" s="143" t="s">
        <v>61</v>
      </c>
      <c r="N112" s="144"/>
      <c r="O112" s="149" t="str">
        <f aca="true" t="shared" si="4" ref="O112:Q115">D112</f>
        <v>KANT</v>
      </c>
      <c r="P112" s="150">
        <f t="shared" si="4"/>
      </c>
      <c r="Q112" s="160">
        <f t="shared" si="4"/>
      </c>
      <c r="R112" s="166"/>
      <c r="S112" s="163">
        <f>I112</f>
      </c>
      <c r="T112" s="151"/>
    </row>
    <row r="113" spans="1:20" ht="15">
      <c r="A113" t="str">
        <f>C$106&amp;2</f>
        <v>52</v>
      </c>
      <c r="C113" s="92">
        <f>VLOOKUP($A113,trifin1,3,FALSE)</f>
        <v>3</v>
      </c>
      <c r="D113" s="106" t="str">
        <f>VLOOKUP($A113,trifin1,9,FALSE)</f>
        <v>SOCRATE</v>
      </c>
      <c r="E113" s="93">
        <f>VLOOKUP($A113,trifin1,5,FALSE)</f>
      </c>
      <c r="F113" s="93">
        <f>VLOOKUP($A113,trifin1,6,FALSE)</f>
      </c>
      <c r="G113" s="349">
        <f>IF(F113="","",E113/F113)</f>
      </c>
      <c r="H113" s="349" t="str">
        <f>IF(E113=DISTANCE,G113,"-")</f>
        <v>-</v>
      </c>
      <c r="I113" s="93">
        <f>VLOOKUP($A113,trifin1,7,FALSE)</f>
      </c>
      <c r="J113" s="94">
        <f>VLOOKUP($A113,trifin1,8,FALSE)</f>
      </c>
      <c r="K113" s="385"/>
      <c r="L113">
        <v>2</v>
      </c>
      <c r="M113" s="143" t="str">
        <f>design2</f>
        <v>RANKING</v>
      </c>
      <c r="N113" s="144"/>
      <c r="O113" s="149" t="str">
        <f t="shared" si="4"/>
        <v>SOCRATE</v>
      </c>
      <c r="P113" s="150">
        <f t="shared" si="4"/>
      </c>
      <c r="Q113" s="160">
        <f t="shared" si="4"/>
      </c>
      <c r="R113" s="166"/>
      <c r="S113" s="163">
        <f>I113</f>
      </c>
      <c r="T113" s="152" t="str">
        <f>F118</f>
        <v>4ème</v>
      </c>
    </row>
    <row r="114" spans="1:20" ht="15">
      <c r="A114" t="str">
        <f>C$106&amp;3</f>
        <v>53</v>
      </c>
      <c r="C114" s="92">
        <f>VLOOKUP($A114,trifin1,3,FALSE)</f>
        <v>5</v>
      </c>
      <c r="D114" s="106" t="str">
        <f>VLOOKUP($A114,trifin1,9,FALSE)</f>
        <v>NIETZCHE</v>
      </c>
      <c r="E114" s="93">
        <f>VLOOKUP($A114,trifin1,5,FALSE)</f>
      </c>
      <c r="F114" s="93">
        <f>VLOOKUP($A114,trifin1,6,FALSE)</f>
      </c>
      <c r="G114" s="349">
        <f>IF(F114="","",E114/F114)</f>
      </c>
      <c r="H114" s="349" t="str">
        <f>IF(E114=DISTANCE,G114,"-")</f>
        <v>-</v>
      </c>
      <c r="I114" s="93">
        <f>VLOOKUP($A114,trifin1,7,FALSE)</f>
      </c>
      <c r="J114" s="94">
        <f>VLOOKUP($A114,trifin1,8,FALSE)</f>
      </c>
      <c r="K114" s="386"/>
      <c r="L114">
        <v>3</v>
      </c>
      <c r="M114" s="143" t="str">
        <f>dat</f>
        <v>Les 17 et 18 novembre 2007</v>
      </c>
      <c r="N114" s="144"/>
      <c r="O114" s="149" t="str">
        <f t="shared" si="4"/>
        <v>NIETZCHE</v>
      </c>
      <c r="P114" s="150">
        <f t="shared" si="4"/>
      </c>
      <c r="Q114" s="160">
        <f t="shared" si="4"/>
      </c>
      <c r="R114" s="166"/>
      <c r="S114" s="163">
        <f>I114</f>
      </c>
      <c r="T114" s="151"/>
    </row>
    <row r="115" spans="1:20" ht="15.75" thickBot="1">
      <c r="A115" t="str">
        <f>C$106&amp;4</f>
        <v>54</v>
      </c>
      <c r="C115" s="105">
        <f>VLOOKUP($A115,trifin1,3,FALSE)</f>
        <v>10</v>
      </c>
      <c r="D115" s="107" t="str">
        <f>VLOOKUP($A115,trifin1,9,FALSE)</f>
        <v>DEBORD</v>
      </c>
      <c r="E115" s="95">
        <f>VLOOKUP($A115,trifin1,5,FALSE)</f>
      </c>
      <c r="F115" s="95">
        <f>VLOOKUP($A115,trifin1,6,FALSE)</f>
      </c>
      <c r="G115" s="350">
        <f>IF(F115="","",E115/F115)</f>
      </c>
      <c r="H115" s="350" t="str">
        <f>IF(E115=DISTANCE,G115,"-")</f>
        <v>-</v>
      </c>
      <c r="I115" s="95">
        <f>VLOOKUP($A115,trifin1,7,FALSE)</f>
      </c>
      <c r="J115" s="96">
        <f>VLOOKUP($A115,trifin1,8,FALSE)</f>
      </c>
      <c r="K115" s="386"/>
      <c r="L115">
        <v>4</v>
      </c>
      <c r="M115" s="145" t="s">
        <v>61</v>
      </c>
      <c r="N115" s="146"/>
      <c r="O115" s="153" t="str">
        <f t="shared" si="4"/>
        <v>DEBORD</v>
      </c>
      <c r="P115" s="154">
        <f t="shared" si="4"/>
      </c>
      <c r="Q115" s="161">
        <f t="shared" si="4"/>
      </c>
      <c r="R115" s="166"/>
      <c r="S115" s="164">
        <f>I115</f>
      </c>
      <c r="T115" s="155"/>
    </row>
    <row r="116" spans="3:11" ht="15.75" thickBot="1">
      <c r="C116" s="101"/>
      <c r="D116" s="108" t="s">
        <v>47</v>
      </c>
      <c r="E116" s="102">
        <f>SUM(E112:E115)</f>
        <v>0</v>
      </c>
      <c r="F116" s="102">
        <f>SUM(F112:F115)</f>
        <v>0</v>
      </c>
      <c r="G116" s="351">
        <f>IF(F116=0,"",E116/F116)</f>
      </c>
      <c r="H116" s="351">
        <f>MAX(H112:H115)</f>
        <v>0</v>
      </c>
      <c r="I116" s="103">
        <f>MAX(I112:I115)</f>
        <v>0</v>
      </c>
      <c r="J116" s="104">
        <f>SUM(J112:J115)</f>
        <v>0</v>
      </c>
      <c r="K116" s="386"/>
    </row>
    <row r="118" spans="3:6" ht="15.75">
      <c r="C118" s="458" t="s">
        <v>48</v>
      </c>
      <c r="D118" s="458"/>
      <c r="E118" s="458"/>
      <c r="F118" s="86" t="str">
        <f>VLOOKUP($C108,clasfin,9,FALSE)</f>
        <v>4ème</v>
      </c>
    </row>
    <row r="120" spans="3:8" ht="23.25">
      <c r="C120" s="97" t="str">
        <f>lieue</f>
        <v>Billard Club Ruthénois</v>
      </c>
      <c r="D120" s="97"/>
      <c r="E120" s="97"/>
      <c r="F120" s="97"/>
      <c r="H120" s="87" t="str">
        <f>dat</f>
        <v>Les 17 et 18 novembre 2007</v>
      </c>
    </row>
  </sheetData>
  <sheetProtection sheet="1" objects="1" scenarios="1"/>
  <mergeCells count="20">
    <mergeCell ref="I108:J108"/>
    <mergeCell ref="C118:E118"/>
    <mergeCell ref="B74:K74"/>
    <mergeCell ref="I81:J81"/>
    <mergeCell ref="I82:J82"/>
    <mergeCell ref="C92:E92"/>
    <mergeCell ref="B100:K100"/>
    <mergeCell ref="I107:J107"/>
    <mergeCell ref="I33:J33"/>
    <mergeCell ref="C43:E43"/>
    <mergeCell ref="B50:K50"/>
    <mergeCell ref="I57:J57"/>
    <mergeCell ref="I58:J58"/>
    <mergeCell ref="C68:E68"/>
    <mergeCell ref="C19:E19"/>
    <mergeCell ref="I8:J8"/>
    <mergeCell ref="I9:J9"/>
    <mergeCell ref="B1:K1"/>
    <mergeCell ref="B25:K25"/>
    <mergeCell ref="I32:J32"/>
  </mergeCells>
  <printOptions/>
  <pageMargins left="0.787401575" right="0.787401575" top="0.984251969" bottom="0.984251969" header="0.4921259845" footer="0.4921259845"/>
  <pageSetup horizontalDpi="300" verticalDpi="3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Y105"/>
  <sheetViews>
    <sheetView showGridLines="0" view="pageBreakPreview" zoomScale="80" zoomScaleNormal="75" zoomScaleSheetLayoutView="80" zoomScalePageLayoutView="0" workbookViewId="0" topLeftCell="A1">
      <pane ySplit="3" topLeftCell="A34" activePane="bottomLeft" state="frozen"/>
      <selection pane="topLeft" activeCell="A1" sqref="A1"/>
      <selection pane="bottomLeft" activeCell="C2" sqref="C2:W2"/>
    </sheetView>
  </sheetViews>
  <sheetFormatPr defaultColWidth="11.5546875" defaultRowHeight="15"/>
  <cols>
    <col min="1" max="5" width="4.88671875" style="0" customWidth="1"/>
    <col min="6" max="6" width="1.77734375" style="0" customWidth="1"/>
    <col min="7" max="11" width="4.88671875" style="0" customWidth="1"/>
    <col min="12" max="12" width="1.77734375" style="0" customWidth="1"/>
    <col min="13" max="17" width="4.88671875" style="0" customWidth="1"/>
    <col min="18" max="18" width="1.77734375" style="0" customWidth="1"/>
    <col min="19" max="23" width="4.88671875" style="0" customWidth="1"/>
    <col min="25" max="25" width="0" style="0" hidden="1" customWidth="1"/>
  </cols>
  <sheetData>
    <row r="1" spans="1:25" ht="26.25">
      <c r="A1" s="233"/>
      <c r="B1" s="280"/>
      <c r="C1" s="468" t="s">
        <v>96</v>
      </c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70"/>
      <c r="Y1" t="str">
        <f>design2</f>
        <v>RANKING</v>
      </c>
    </row>
    <row r="2" spans="1:23" ht="23.25">
      <c r="A2" s="233"/>
      <c r="B2" s="280"/>
      <c r="C2" s="471" t="s">
        <v>130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</row>
    <row r="3" spans="1:23" ht="23.25">
      <c r="A3" s="281"/>
      <c r="B3" s="28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</row>
    <row r="4" spans="1:23" ht="1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3" ht="27.75">
      <c r="A5" s="473" t="s">
        <v>131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</row>
    <row r="6" spans="1:23" ht="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</row>
    <row r="7" spans="1:23" ht="23.25">
      <c r="A7" s="474">
        <f>IF(Y1="SOUS-DISTRICT","X",0)</f>
        <v>0</v>
      </c>
      <c r="B7" s="464" t="s">
        <v>132</v>
      </c>
      <c r="C7" s="464"/>
      <c r="D7" s="464"/>
      <c r="E7" s="465"/>
      <c r="F7" s="283"/>
      <c r="G7" s="474">
        <f>IF(Y1="DISTRICT","X",IF(Y1="DEMI-LIGUE","X",0))</f>
        <v>0</v>
      </c>
      <c r="H7" s="464" t="s">
        <v>133</v>
      </c>
      <c r="I7" s="464"/>
      <c r="J7" s="464"/>
      <c r="K7" s="465"/>
      <c r="L7" s="283"/>
      <c r="M7" s="474">
        <f>IF(Y1="LIGUE","X",0)</f>
        <v>0</v>
      </c>
      <c r="N7" s="464" t="s">
        <v>134</v>
      </c>
      <c r="O7" s="464"/>
      <c r="P7" s="464"/>
      <c r="Q7" s="465"/>
      <c r="R7" s="283"/>
      <c r="S7" s="474">
        <f>IF(Y1="SECTEUR","X",0)</f>
        <v>0</v>
      </c>
      <c r="T7" s="464" t="s">
        <v>135</v>
      </c>
      <c r="U7" s="464"/>
      <c r="V7" s="464"/>
      <c r="W7" s="465"/>
    </row>
    <row r="8" spans="1:23" ht="15.75" customHeight="1">
      <c r="A8" s="475"/>
      <c r="B8" s="466"/>
      <c r="C8" s="466"/>
      <c r="D8" s="466"/>
      <c r="E8" s="467"/>
      <c r="F8" s="283"/>
      <c r="G8" s="475"/>
      <c r="H8" s="466"/>
      <c r="I8" s="466"/>
      <c r="J8" s="466"/>
      <c r="K8" s="467"/>
      <c r="L8" s="283"/>
      <c r="M8" s="475"/>
      <c r="N8" s="466"/>
      <c r="O8" s="466"/>
      <c r="P8" s="466"/>
      <c r="Q8" s="467"/>
      <c r="R8" s="283"/>
      <c r="S8" s="475"/>
      <c r="T8" s="466"/>
      <c r="U8" s="466"/>
      <c r="V8" s="466"/>
      <c r="W8" s="467"/>
    </row>
    <row r="9" spans="1:23" ht="1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</row>
    <row r="10" spans="1:23" ht="15">
      <c r="A10" s="284" t="s">
        <v>136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</row>
    <row r="11" spans="1:23" ht="8.2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</row>
    <row r="12" spans="1:23" ht="15.75">
      <c r="A12" s="233"/>
      <c r="B12" s="476" t="s">
        <v>106</v>
      </c>
      <c r="C12" s="476"/>
      <c r="D12" s="476"/>
      <c r="E12" s="476"/>
      <c r="F12" s="476"/>
      <c r="G12" s="476"/>
      <c r="H12" s="233"/>
      <c r="I12" s="233"/>
      <c r="J12" s="476" t="s">
        <v>137</v>
      </c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23" ht="15">
      <c r="A13" s="285"/>
      <c r="B13" s="477"/>
      <c r="C13" s="478"/>
      <c r="D13" s="478"/>
      <c r="E13" s="478"/>
      <c r="F13" s="478"/>
      <c r="G13" s="479"/>
      <c r="H13" s="285"/>
      <c r="I13" s="285"/>
      <c r="J13" s="486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8"/>
    </row>
    <row r="14" spans="1:23" ht="15">
      <c r="A14" s="285"/>
      <c r="B14" s="480"/>
      <c r="C14" s="481"/>
      <c r="D14" s="481"/>
      <c r="E14" s="481"/>
      <c r="F14" s="481"/>
      <c r="G14" s="482"/>
      <c r="H14" s="285"/>
      <c r="I14" s="285"/>
      <c r="J14" s="489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1"/>
    </row>
    <row r="15" spans="1:23" ht="15">
      <c r="A15" s="285"/>
      <c r="B15" s="483"/>
      <c r="C15" s="484"/>
      <c r="D15" s="484"/>
      <c r="E15" s="484"/>
      <c r="F15" s="484"/>
      <c r="G15" s="485"/>
      <c r="H15" s="285"/>
      <c r="I15" s="285"/>
      <c r="J15" s="492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4"/>
    </row>
    <row r="16" spans="1:23" ht="15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</row>
    <row r="17" spans="1:23" ht="15.75">
      <c r="A17" s="285"/>
      <c r="B17" s="476" t="s">
        <v>138</v>
      </c>
      <c r="C17" s="476"/>
      <c r="D17" s="476"/>
      <c r="E17" s="476"/>
      <c r="F17" s="476"/>
      <c r="G17" s="476"/>
      <c r="H17" s="285"/>
      <c r="I17" s="285"/>
      <c r="J17" s="476" t="s">
        <v>104</v>
      </c>
      <c r="K17" s="476"/>
      <c r="L17" s="476"/>
      <c r="M17" s="476"/>
      <c r="N17" s="476"/>
      <c r="O17" s="476"/>
      <c r="P17" s="285"/>
      <c r="Q17" s="285"/>
      <c r="R17" s="285"/>
      <c r="S17" s="476" t="s">
        <v>139</v>
      </c>
      <c r="T17" s="476"/>
      <c r="U17" s="476"/>
      <c r="V17" s="476"/>
      <c r="W17" s="476"/>
    </row>
    <row r="18" spans="1:23" ht="15">
      <c r="A18" s="285"/>
      <c r="B18" s="486" t="str">
        <f>modjeu</f>
        <v>3 BANDES</v>
      </c>
      <c r="C18" s="487"/>
      <c r="D18" s="487"/>
      <c r="E18" s="487"/>
      <c r="F18" s="487"/>
      <c r="G18" s="488"/>
      <c r="H18" s="285"/>
      <c r="I18" s="285"/>
      <c r="J18" s="486" t="str">
        <f>design1</f>
        <v>REGIONALE 2</v>
      </c>
      <c r="K18" s="487"/>
      <c r="L18" s="487"/>
      <c r="M18" s="487"/>
      <c r="N18" s="487"/>
      <c r="O18" s="488"/>
      <c r="P18" s="285"/>
      <c r="Q18" s="285"/>
      <c r="R18" s="285"/>
      <c r="S18" s="495">
        <f>DISTANCE</f>
        <v>25</v>
      </c>
      <c r="T18" s="496"/>
      <c r="U18" s="496"/>
      <c r="V18" s="496"/>
      <c r="W18" s="499" t="s">
        <v>8</v>
      </c>
    </row>
    <row r="19" spans="1:23" ht="15">
      <c r="A19" s="285"/>
      <c r="B19" s="492"/>
      <c r="C19" s="493"/>
      <c r="D19" s="493"/>
      <c r="E19" s="493"/>
      <c r="F19" s="493"/>
      <c r="G19" s="494"/>
      <c r="H19" s="285"/>
      <c r="I19" s="285"/>
      <c r="J19" s="492"/>
      <c r="K19" s="493"/>
      <c r="L19" s="493"/>
      <c r="M19" s="493"/>
      <c r="N19" s="493"/>
      <c r="O19" s="494"/>
      <c r="P19" s="285"/>
      <c r="Q19" s="285"/>
      <c r="R19" s="285"/>
      <c r="S19" s="497"/>
      <c r="T19" s="498"/>
      <c r="U19" s="498"/>
      <c r="V19" s="498"/>
      <c r="W19" s="500"/>
    </row>
    <row r="20" spans="1:23" ht="15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</row>
    <row r="21" spans="1:23" ht="15.75">
      <c r="A21" s="28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7" t="s">
        <v>159</v>
      </c>
      <c r="O21" s="285"/>
      <c r="P21" s="285"/>
      <c r="Q21" s="285"/>
      <c r="R21" s="285"/>
      <c r="S21" s="285"/>
      <c r="T21" s="285"/>
      <c r="U21" s="285"/>
      <c r="V21" s="285"/>
      <c r="W21" s="285"/>
    </row>
    <row r="22" spans="1:23" ht="15.75">
      <c r="A22" s="286" t="s">
        <v>140</v>
      </c>
      <c r="B22" s="285"/>
      <c r="C22" s="285"/>
      <c r="D22" s="285"/>
      <c r="E22" s="285"/>
      <c r="F22" s="285"/>
      <c r="G22" s="285"/>
      <c r="H22" s="336">
        <f>IF(Y1="SOUS-DISTRICT",1,0)</f>
        <v>0</v>
      </c>
      <c r="I22" s="287" t="s">
        <v>141</v>
      </c>
      <c r="J22" s="287"/>
      <c r="K22" s="287"/>
      <c r="L22" s="287"/>
      <c r="M22" s="336">
        <f>IF(Y1="DISTRICT",1,IF(Y1="DEMI-LIGUE",1,0))</f>
        <v>0</v>
      </c>
      <c r="N22" s="287" t="s">
        <v>158</v>
      </c>
      <c r="O22" s="287"/>
      <c r="P22" s="285"/>
      <c r="Q22" s="336">
        <f>IF(Y1="LIGUE",1,0)</f>
        <v>0</v>
      </c>
      <c r="R22" s="287" t="s">
        <v>133</v>
      </c>
      <c r="S22" s="285"/>
      <c r="T22" s="287"/>
      <c r="U22" s="336">
        <f>IF(Y1="SECTEUR",1,0)</f>
        <v>0</v>
      </c>
      <c r="V22" s="287" t="s">
        <v>134</v>
      </c>
      <c r="W22" s="287"/>
    </row>
    <row r="23" spans="1:23" ht="15">
      <c r="A23" s="285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</row>
    <row r="24" spans="1:23" ht="30" customHeight="1">
      <c r="A24" s="288" t="s">
        <v>142</v>
      </c>
      <c r="B24" s="289"/>
      <c r="C24" s="289"/>
      <c r="D24" s="289"/>
      <c r="E24" s="289"/>
      <c r="F24" s="290"/>
      <c r="G24" s="501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3"/>
    </row>
    <row r="25" spans="1:23" ht="15.75">
      <c r="A25" s="340"/>
      <c r="B25" s="292"/>
      <c r="C25" s="292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</row>
    <row r="26" spans="1:23" ht="20.25">
      <c r="A26" s="43"/>
      <c r="B26" s="301"/>
      <c r="C26" s="343" t="s">
        <v>143</v>
      </c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8"/>
    </row>
    <row r="27" spans="1:23" ht="18" customHeight="1">
      <c r="A27" s="338"/>
      <c r="B27" s="301"/>
      <c r="C27" s="301"/>
      <c r="D27" s="294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88" t="s">
        <v>144</v>
      </c>
      <c r="R27" s="504"/>
      <c r="S27" s="504"/>
      <c r="T27" s="504"/>
      <c r="U27" s="504"/>
      <c r="V27" s="504"/>
      <c r="W27" s="505"/>
    </row>
    <row r="28" spans="1:23" ht="15.75">
      <c r="A28" s="338"/>
      <c r="B28" s="301"/>
      <c r="C28" s="301"/>
      <c r="D28" s="301"/>
      <c r="E28" s="301"/>
      <c r="F28" s="301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</row>
    <row r="29" spans="1:23" ht="23.25" customHeight="1">
      <c r="A29" s="43"/>
      <c r="B29" s="301"/>
      <c r="C29" s="301"/>
      <c r="D29" s="301"/>
      <c r="E29" s="301"/>
      <c r="F29" s="343" t="s">
        <v>145</v>
      </c>
      <c r="G29" s="506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8"/>
    </row>
    <row r="30" spans="1:23" ht="15">
      <c r="A30" s="296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</row>
    <row r="31" spans="1:23" ht="23.25">
      <c r="A31" s="43"/>
      <c r="B31" s="337" t="s">
        <v>146</v>
      </c>
      <c r="C31" s="501"/>
      <c r="D31" s="502"/>
      <c r="E31" s="502"/>
      <c r="F31" s="502"/>
      <c r="G31" s="502"/>
      <c r="H31" s="503"/>
      <c r="I31" s="43"/>
      <c r="J31" s="338"/>
      <c r="K31" s="337" t="s">
        <v>98</v>
      </c>
      <c r="L31" s="509"/>
      <c r="M31" s="507"/>
      <c r="N31" s="507"/>
      <c r="O31" s="508"/>
      <c r="P31" s="43"/>
      <c r="Q31" s="339"/>
      <c r="R31" s="301"/>
      <c r="S31" s="301"/>
      <c r="T31" s="337" t="s">
        <v>99</v>
      </c>
      <c r="U31" s="510"/>
      <c r="V31" s="511"/>
      <c r="W31" s="512"/>
    </row>
    <row r="32" spans="1:23" ht="15">
      <c r="A32" s="341"/>
      <c r="B32" s="341"/>
      <c r="C32" s="342"/>
      <c r="D32" s="342"/>
      <c r="E32" s="342"/>
      <c r="F32" s="342"/>
      <c r="G32" s="342"/>
      <c r="H32" s="342"/>
      <c r="I32" s="341"/>
      <c r="J32" s="341"/>
      <c r="K32" s="341"/>
      <c r="L32" s="342"/>
      <c r="M32" s="342"/>
      <c r="N32" s="342"/>
      <c r="O32" s="342"/>
      <c r="P32" s="341"/>
      <c r="Q32" s="341"/>
      <c r="R32" s="341"/>
      <c r="S32" s="341"/>
      <c r="T32" s="341"/>
      <c r="U32" s="342"/>
      <c r="V32" s="342"/>
      <c r="W32" s="342"/>
    </row>
    <row r="33" spans="1:23" ht="15">
      <c r="A33" s="296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</row>
    <row r="34" spans="1:23" ht="15.75">
      <c r="A34" s="513" t="s">
        <v>147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</row>
    <row r="35" spans="1:23" ht="15">
      <c r="A35" s="296"/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</row>
    <row r="36" spans="1:23" ht="30" customHeight="1">
      <c r="A36" s="288" t="s">
        <v>142</v>
      </c>
      <c r="B36" s="289"/>
      <c r="C36" s="289"/>
      <c r="D36" s="289"/>
      <c r="E36" s="289"/>
      <c r="F36" s="290"/>
      <c r="G36" s="501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3"/>
    </row>
    <row r="37" spans="1:23" ht="15.75">
      <c r="A37" s="340"/>
      <c r="B37" s="292"/>
      <c r="C37" s="292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</row>
    <row r="38" spans="1:23" ht="20.25">
      <c r="A38" s="43"/>
      <c r="B38" s="301"/>
      <c r="C38" s="337" t="s">
        <v>143</v>
      </c>
      <c r="D38" s="486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8"/>
    </row>
    <row r="39" spans="1:23" ht="18" customHeight="1">
      <c r="A39" s="338"/>
      <c r="B39" s="301"/>
      <c r="C39" s="301"/>
      <c r="D39" s="294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88" t="s">
        <v>144</v>
      </c>
      <c r="R39" s="504"/>
      <c r="S39" s="504"/>
      <c r="T39" s="504"/>
      <c r="U39" s="504"/>
      <c r="V39" s="504"/>
      <c r="W39" s="505"/>
    </row>
    <row r="40" spans="1:23" ht="15.75">
      <c r="A40" s="338"/>
      <c r="B40" s="301"/>
      <c r="C40" s="301"/>
      <c r="D40" s="292"/>
      <c r="E40" s="292"/>
      <c r="F40" s="292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</row>
    <row r="41" spans="1:23" ht="23.25" customHeight="1">
      <c r="A41" s="43"/>
      <c r="B41" s="301"/>
      <c r="C41" s="301"/>
      <c r="D41" s="301"/>
      <c r="E41" s="301"/>
      <c r="F41" s="337" t="s">
        <v>145</v>
      </c>
      <c r="G41" s="514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8"/>
    </row>
    <row r="42" spans="1:23" ht="15">
      <c r="A42" s="296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</row>
    <row r="43" spans="1:23" ht="26.25" customHeight="1">
      <c r="A43" s="43"/>
      <c r="B43" s="337" t="s">
        <v>146</v>
      </c>
      <c r="C43" s="501"/>
      <c r="D43" s="502"/>
      <c r="E43" s="502"/>
      <c r="F43" s="502"/>
      <c r="G43" s="502"/>
      <c r="H43" s="503"/>
      <c r="I43" s="43"/>
      <c r="J43" s="338"/>
      <c r="K43" s="337" t="s">
        <v>98</v>
      </c>
      <c r="L43" s="509"/>
      <c r="M43" s="507"/>
      <c r="N43" s="507"/>
      <c r="O43" s="508"/>
      <c r="P43" s="43"/>
      <c r="Q43" s="339"/>
      <c r="R43" s="301"/>
      <c r="S43" s="301"/>
      <c r="T43" s="337" t="s">
        <v>99</v>
      </c>
      <c r="U43" s="510"/>
      <c r="V43" s="511"/>
      <c r="W43" s="512"/>
    </row>
    <row r="44" spans="1:23" ht="15">
      <c r="A44" s="341"/>
      <c r="B44" s="341"/>
      <c r="C44" s="342"/>
      <c r="D44" s="342"/>
      <c r="E44" s="342"/>
      <c r="F44" s="342"/>
      <c r="G44" s="342"/>
      <c r="H44" s="342"/>
      <c r="I44" s="341"/>
      <c r="J44" s="341"/>
      <c r="K44" s="341"/>
      <c r="L44" s="342"/>
      <c r="M44" s="342"/>
      <c r="N44" s="342"/>
      <c r="O44" s="342"/>
      <c r="P44" s="341"/>
      <c r="Q44" s="341"/>
      <c r="R44" s="341"/>
      <c r="S44" s="341"/>
      <c r="T44" s="341"/>
      <c r="U44" s="342"/>
      <c r="V44" s="342"/>
      <c r="W44" s="342"/>
    </row>
    <row r="45" spans="1:23" ht="15">
      <c r="A45" s="296"/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  <row r="46" spans="1:23" ht="15.75">
      <c r="A46" s="297" t="s">
        <v>148</v>
      </c>
      <c r="B46" s="296"/>
      <c r="C46" s="296"/>
      <c r="D46" s="296"/>
      <c r="E46" s="296"/>
      <c r="F46" s="515" t="s">
        <v>149</v>
      </c>
      <c r="G46" s="515"/>
      <c r="H46" s="515"/>
      <c r="I46" s="515"/>
      <c r="J46" s="515"/>
      <c r="K46" s="515"/>
      <c r="L46" s="515"/>
      <c r="M46" s="515"/>
      <c r="N46" s="515"/>
      <c r="O46" s="297"/>
      <c r="P46" s="515" t="s">
        <v>150</v>
      </c>
      <c r="Q46" s="515"/>
      <c r="R46" s="515"/>
      <c r="S46" s="515"/>
      <c r="T46" s="515"/>
      <c r="U46" s="515"/>
      <c r="V46" s="515"/>
      <c r="W46" s="515"/>
    </row>
    <row r="47" spans="1:23" ht="15">
      <c r="A47" s="296"/>
      <c r="B47" s="296"/>
      <c r="C47" s="296"/>
      <c r="D47" s="296"/>
      <c r="E47" s="296"/>
      <c r="F47" s="298"/>
      <c r="G47" s="292"/>
      <c r="H47" s="292"/>
      <c r="I47" s="292"/>
      <c r="J47" s="292"/>
      <c r="K47" s="292"/>
      <c r="L47" s="292"/>
      <c r="M47" s="292"/>
      <c r="N47" s="299"/>
      <c r="O47" s="296"/>
      <c r="P47" s="298"/>
      <c r="Q47" s="292"/>
      <c r="R47" s="292"/>
      <c r="S47" s="292"/>
      <c r="T47" s="292"/>
      <c r="U47" s="292"/>
      <c r="V47" s="292"/>
      <c r="W47" s="299"/>
    </row>
    <row r="48" spans="1:23" ht="15">
      <c r="A48" s="296"/>
      <c r="B48" s="296"/>
      <c r="C48" s="296"/>
      <c r="D48" s="296"/>
      <c r="E48" s="296"/>
      <c r="F48" s="300"/>
      <c r="G48" s="301"/>
      <c r="H48" s="301"/>
      <c r="I48" s="301"/>
      <c r="J48" s="301"/>
      <c r="K48" s="301"/>
      <c r="L48" s="301"/>
      <c r="M48" s="301"/>
      <c r="N48" s="302"/>
      <c r="O48" s="296"/>
      <c r="P48" s="300"/>
      <c r="Q48" s="301"/>
      <c r="R48" s="301"/>
      <c r="S48" s="301"/>
      <c r="T48" s="301"/>
      <c r="U48" s="301"/>
      <c r="V48" s="301"/>
      <c r="W48" s="302"/>
    </row>
    <row r="49" spans="1:23" ht="9" customHeight="1">
      <c r="A49" s="296"/>
      <c r="B49" s="296"/>
      <c r="C49" s="296"/>
      <c r="D49" s="296"/>
      <c r="E49" s="296"/>
      <c r="F49" s="300"/>
      <c r="G49" s="301"/>
      <c r="H49" s="301"/>
      <c r="I49" s="301"/>
      <c r="J49" s="301"/>
      <c r="K49" s="301"/>
      <c r="L49" s="301"/>
      <c r="M49" s="301"/>
      <c r="N49" s="302"/>
      <c r="O49" s="296"/>
      <c r="P49" s="300"/>
      <c r="Q49" s="301"/>
      <c r="R49" s="301"/>
      <c r="S49" s="301"/>
      <c r="T49" s="301"/>
      <c r="U49" s="301"/>
      <c r="V49" s="301"/>
      <c r="W49" s="302"/>
    </row>
    <row r="50" spans="1:23" ht="15">
      <c r="A50" s="296"/>
      <c r="B50" s="296"/>
      <c r="C50" s="296"/>
      <c r="D50" s="296"/>
      <c r="E50" s="296"/>
      <c r="F50" s="300"/>
      <c r="G50" s="301"/>
      <c r="H50" s="301"/>
      <c r="I50" s="301"/>
      <c r="J50" s="301"/>
      <c r="K50" s="301"/>
      <c r="L50" s="301"/>
      <c r="M50" s="301"/>
      <c r="N50" s="302"/>
      <c r="O50" s="296"/>
      <c r="P50" s="300"/>
      <c r="Q50" s="301"/>
      <c r="R50" s="301"/>
      <c r="S50" s="301"/>
      <c r="T50" s="301"/>
      <c r="U50" s="301"/>
      <c r="V50" s="301"/>
      <c r="W50" s="302"/>
    </row>
    <row r="51" spans="1:23" ht="15">
      <c r="A51" s="296"/>
      <c r="B51" s="296"/>
      <c r="C51" s="296"/>
      <c r="D51" s="296"/>
      <c r="E51" s="296"/>
      <c r="F51" s="294"/>
      <c r="G51" s="293"/>
      <c r="H51" s="293"/>
      <c r="I51" s="293"/>
      <c r="J51" s="293"/>
      <c r="K51" s="293"/>
      <c r="L51" s="293"/>
      <c r="M51" s="293"/>
      <c r="N51" s="295"/>
      <c r="O51" s="296"/>
      <c r="P51" s="294"/>
      <c r="Q51" s="293"/>
      <c r="R51" s="293"/>
      <c r="S51" s="293"/>
      <c r="T51" s="293"/>
      <c r="U51" s="293"/>
      <c r="V51" s="293"/>
      <c r="W51" s="295"/>
    </row>
    <row r="52" spans="1:23" ht="6.75" customHeight="1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</row>
    <row r="53" spans="1:23" ht="6.75" customHeight="1">
      <c r="A53" s="296"/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</row>
    <row r="54" spans="1:23" ht="8.25" customHeight="1">
      <c r="A54" s="296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</row>
    <row r="55" spans="1:23" ht="18">
      <c r="A55" s="296"/>
      <c r="B55" s="296" t="s">
        <v>157</v>
      </c>
      <c r="C55" s="296"/>
      <c r="D55" s="296"/>
      <c r="E55" s="296"/>
      <c r="F55" s="296"/>
      <c r="G55" s="296"/>
      <c r="H55" s="296"/>
      <c r="I55" s="296"/>
      <c r="J55" s="296"/>
      <c r="K55" s="303" t="s">
        <v>151</v>
      </c>
      <c r="L55" s="516"/>
      <c r="M55" s="516"/>
      <c r="N55" s="516"/>
      <c r="O55" s="516"/>
      <c r="P55" s="516"/>
      <c r="Q55" s="516"/>
      <c r="R55" s="516"/>
      <c r="S55" s="303" t="s">
        <v>152</v>
      </c>
      <c r="T55" s="517"/>
      <c r="U55" s="517"/>
      <c r="V55" s="517"/>
      <c r="W55" s="517"/>
    </row>
    <row r="56" spans="1:23" ht="15">
      <c r="A56" s="296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</row>
    <row r="57" spans="1:23" ht="15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518" t="s">
        <v>153</v>
      </c>
      <c r="O57" s="518"/>
      <c r="P57" s="518"/>
      <c r="Q57" s="518"/>
      <c r="R57" s="518"/>
      <c r="S57" s="518"/>
      <c r="T57" s="518"/>
      <c r="U57" s="518"/>
      <c r="V57" s="296"/>
      <c r="W57" s="296"/>
    </row>
    <row r="58" spans="1:23" ht="15.75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1">
        <f>dirjeu</f>
        <v>0</v>
      </c>
      <c r="O58" s="292"/>
      <c r="P58" s="292"/>
      <c r="Q58" s="292"/>
      <c r="R58" s="292"/>
      <c r="S58" s="292"/>
      <c r="T58" s="292"/>
      <c r="U58" s="299"/>
      <c r="V58" s="296"/>
      <c r="W58" s="296"/>
    </row>
    <row r="59" spans="1:23" ht="15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304"/>
      <c r="O59" s="301"/>
      <c r="P59" s="301"/>
      <c r="Q59" s="301"/>
      <c r="R59" s="301"/>
      <c r="S59" s="301"/>
      <c r="T59" s="301"/>
      <c r="U59" s="302"/>
      <c r="V59" s="296"/>
      <c r="W59" s="296"/>
    </row>
    <row r="60" spans="1:23" ht="15">
      <c r="A60" s="296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300"/>
      <c r="O60" s="301"/>
      <c r="P60" s="301"/>
      <c r="Q60" s="301"/>
      <c r="R60" s="301"/>
      <c r="S60" s="301"/>
      <c r="T60" s="301"/>
      <c r="U60" s="302"/>
      <c r="V60" s="296"/>
      <c r="W60" s="296"/>
    </row>
    <row r="61" spans="1:23" ht="15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4"/>
      <c r="O61" s="293"/>
      <c r="P61" s="293"/>
      <c r="Q61" s="293"/>
      <c r="R61" s="293"/>
      <c r="S61" s="293"/>
      <c r="T61" s="293"/>
      <c r="U61" s="295"/>
      <c r="V61" s="296"/>
      <c r="W61" s="296"/>
    </row>
    <row r="62" spans="1:23" ht="9" customHeight="1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</row>
    <row r="63" spans="1:23" ht="15">
      <c r="A63" s="296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33"/>
      <c r="P63" s="305"/>
      <c r="Q63" s="306"/>
      <c r="R63" s="280"/>
      <c r="S63" s="233"/>
      <c r="T63" s="233"/>
      <c r="U63" s="306"/>
      <c r="V63" s="280"/>
      <c r="W63" s="280"/>
    </row>
    <row r="68" ht="251.25" customHeight="1"/>
    <row r="69" spans="1:22" ht="21" thickBot="1">
      <c r="A69" s="226"/>
      <c r="B69" s="227"/>
      <c r="C69" s="228"/>
      <c r="D69" s="229" t="s">
        <v>93</v>
      </c>
      <c r="E69" s="229"/>
      <c r="F69" s="230"/>
      <c r="G69" s="230"/>
      <c r="H69" s="230"/>
      <c r="N69" s="230" t="s">
        <v>94</v>
      </c>
      <c r="P69" s="230"/>
      <c r="Q69" s="230"/>
      <c r="R69" s="230"/>
      <c r="V69" s="230" t="s">
        <v>95</v>
      </c>
    </row>
    <row r="70" spans="1:23" ht="35.25">
      <c r="A70" s="226"/>
      <c r="B70" s="227"/>
      <c r="C70" s="228"/>
      <c r="D70" s="519" t="s">
        <v>96</v>
      </c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1"/>
    </row>
    <row r="71" spans="1:23" ht="30">
      <c r="A71" s="226"/>
      <c r="B71" s="227"/>
      <c r="C71" s="231"/>
      <c r="D71" s="522" t="s">
        <v>97</v>
      </c>
      <c r="E71" s="523"/>
      <c r="F71" s="523"/>
      <c r="G71" s="52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523"/>
      <c r="W71" s="524"/>
    </row>
    <row r="72" spans="1:23" ht="27" thickBot="1">
      <c r="A72" s="226"/>
      <c r="B72" s="227"/>
      <c r="C72" s="231"/>
      <c r="D72" s="525"/>
      <c r="E72" s="526"/>
      <c r="F72" s="526"/>
      <c r="G72" s="526"/>
      <c r="H72" s="526"/>
      <c r="I72" s="526"/>
      <c r="J72" s="526"/>
      <c r="K72" s="526"/>
      <c r="L72" s="526"/>
      <c r="M72" s="526"/>
      <c r="N72" s="526"/>
      <c r="O72" s="526"/>
      <c r="P72" s="526"/>
      <c r="Q72" s="526"/>
      <c r="R72" s="526"/>
      <c r="S72" s="526"/>
      <c r="T72" s="526"/>
      <c r="U72" s="526"/>
      <c r="V72" s="526"/>
      <c r="W72" s="527"/>
    </row>
    <row r="73" spans="1:13" ht="20.25">
      <c r="A73" s="226"/>
      <c r="B73" s="227"/>
      <c r="C73" s="227"/>
      <c r="D73" s="227"/>
      <c r="E73" s="227"/>
      <c r="F73" s="227"/>
      <c r="G73" s="43"/>
      <c r="H73" s="232"/>
      <c r="I73" s="232"/>
      <c r="J73" s="233"/>
      <c r="K73" s="233"/>
      <c r="L73" s="234"/>
      <c r="M73" s="234"/>
    </row>
    <row r="74" spans="1:16" ht="25.5">
      <c r="A74" s="232"/>
      <c r="B74" s="232"/>
      <c r="C74" s="232"/>
      <c r="D74" s="232"/>
      <c r="E74" s="232"/>
      <c r="F74" s="232"/>
      <c r="G74" s="232"/>
      <c r="H74" s="232"/>
      <c r="I74" s="232"/>
      <c r="K74" s="234"/>
      <c r="L74" s="234"/>
      <c r="M74" s="234"/>
      <c r="P74" s="235" t="s">
        <v>119</v>
      </c>
    </row>
    <row r="75" spans="1:23" ht="18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307"/>
      <c r="O75" s="307"/>
      <c r="P75" s="307"/>
      <c r="Q75" s="307"/>
      <c r="R75" s="307"/>
      <c r="S75" s="307"/>
      <c r="T75" s="307"/>
      <c r="U75" s="307"/>
      <c r="V75" s="307"/>
      <c r="W75" s="307"/>
    </row>
    <row r="76" spans="2:13" ht="25.5"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</row>
    <row r="77" spans="1:13" ht="26.25">
      <c r="A77" s="244" t="s">
        <v>100</v>
      </c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</row>
    <row r="78" spans="1:13" ht="26.25">
      <c r="A78" s="246" t="s">
        <v>101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</row>
    <row r="79" spans="1:13" ht="25.5">
      <c r="A79" s="238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</row>
    <row r="80" spans="1:13" ht="26.25">
      <c r="A80" s="238"/>
      <c r="B80" s="244" t="s">
        <v>154</v>
      </c>
      <c r="D80" s="238"/>
      <c r="E80" s="238"/>
      <c r="F80" s="238"/>
      <c r="G80" s="238"/>
      <c r="H80" s="238"/>
      <c r="I80" s="238"/>
      <c r="J80" s="238"/>
      <c r="K80" s="238"/>
      <c r="L80" s="238"/>
      <c r="M80" s="238"/>
    </row>
    <row r="81" spans="1:13" ht="25.5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</row>
    <row r="82" spans="1:21" ht="37.5">
      <c r="A82" s="528" t="s">
        <v>102</v>
      </c>
      <c r="B82" s="529"/>
      <c r="C82" s="529"/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</row>
    <row r="83" spans="1:23" ht="33.75">
      <c r="A83" s="308" t="s">
        <v>103</v>
      </c>
      <c r="B83" s="308"/>
      <c r="C83" s="309"/>
      <c r="D83" s="309"/>
      <c r="E83" s="309"/>
      <c r="F83" s="310"/>
      <c r="G83" s="311"/>
      <c r="H83" s="309"/>
      <c r="I83" s="312"/>
      <c r="J83" s="309"/>
      <c r="K83" s="309"/>
      <c r="L83" s="313"/>
      <c r="M83" s="314" t="s">
        <v>104</v>
      </c>
      <c r="N83" s="309"/>
      <c r="O83" s="309"/>
      <c r="P83" s="313"/>
      <c r="Q83" s="315"/>
      <c r="R83" s="316" t="str">
        <f>design1</f>
        <v>REGIONALE 2</v>
      </c>
      <c r="S83" s="317"/>
      <c r="T83" s="317"/>
      <c r="U83" s="317"/>
      <c r="V83" s="309"/>
      <c r="W83" s="313"/>
    </row>
    <row r="84" spans="1:23" ht="33.75">
      <c r="A84" s="308" t="s">
        <v>105</v>
      </c>
      <c r="B84" s="308"/>
      <c r="C84" s="318"/>
      <c r="D84" s="317"/>
      <c r="E84" s="317"/>
      <c r="F84" s="310"/>
      <c r="G84" s="318"/>
      <c r="H84" s="309"/>
      <c r="I84" s="319"/>
      <c r="J84" s="309"/>
      <c r="K84" s="309"/>
      <c r="L84" s="313"/>
      <c r="M84" s="314" t="s">
        <v>106</v>
      </c>
      <c r="N84" s="309"/>
      <c r="O84" s="309"/>
      <c r="P84" s="313"/>
      <c r="Q84" s="315"/>
      <c r="R84" s="309"/>
      <c r="S84" s="309"/>
      <c r="T84" s="309"/>
      <c r="U84" s="317"/>
      <c r="V84" s="309"/>
      <c r="W84" s="384" t="str">
        <f>dat</f>
        <v>Les 17 et 18 novembre 2007</v>
      </c>
    </row>
    <row r="85" spans="1:13" ht="25.5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</row>
    <row r="86" spans="1:13" ht="26.25" thickBot="1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</row>
    <row r="87" spans="1:23" ht="15">
      <c r="A87" s="530" t="s">
        <v>107</v>
      </c>
      <c r="B87" s="532" t="s">
        <v>108</v>
      </c>
      <c r="C87" s="533"/>
      <c r="D87" s="533"/>
      <c r="E87" s="533"/>
      <c r="F87" s="533"/>
      <c r="G87" s="533"/>
      <c r="H87" s="320"/>
      <c r="I87" s="237"/>
      <c r="J87" s="321"/>
      <c r="K87" s="536" t="s">
        <v>110</v>
      </c>
      <c r="L87" s="537"/>
      <c r="M87" s="536"/>
      <c r="N87" s="537"/>
      <c r="O87" s="536"/>
      <c r="P87" s="537"/>
      <c r="Q87" s="536"/>
      <c r="R87" s="538"/>
      <c r="S87" s="537"/>
      <c r="T87" s="536"/>
      <c r="U87" s="537"/>
      <c r="V87" s="536"/>
      <c r="W87" s="545"/>
    </row>
    <row r="88" spans="1:23" ht="18">
      <c r="A88" s="531"/>
      <c r="B88" s="534"/>
      <c r="C88" s="535"/>
      <c r="D88" s="535"/>
      <c r="E88" s="535"/>
      <c r="F88" s="535"/>
      <c r="G88" s="535"/>
      <c r="H88" s="539" t="s">
        <v>109</v>
      </c>
      <c r="I88" s="540"/>
      <c r="J88" s="541"/>
      <c r="K88" s="542" t="s">
        <v>111</v>
      </c>
      <c r="L88" s="543"/>
      <c r="M88" s="542" t="s">
        <v>110</v>
      </c>
      <c r="N88" s="543"/>
      <c r="O88" s="323" t="s">
        <v>112</v>
      </c>
      <c r="P88" s="324"/>
      <c r="Q88" s="542" t="s">
        <v>113</v>
      </c>
      <c r="R88" s="544"/>
      <c r="S88" s="543"/>
      <c r="T88" s="542" t="s">
        <v>114</v>
      </c>
      <c r="U88" s="543"/>
      <c r="V88" s="542" t="s">
        <v>115</v>
      </c>
      <c r="W88" s="546"/>
    </row>
    <row r="89" spans="1:23" ht="18.75" thickBot="1">
      <c r="A89" s="531"/>
      <c r="B89" s="534"/>
      <c r="C89" s="535"/>
      <c r="D89" s="535"/>
      <c r="E89" s="535"/>
      <c r="F89" s="535"/>
      <c r="G89" s="535"/>
      <c r="H89" s="322"/>
      <c r="I89" s="43"/>
      <c r="J89" s="325"/>
      <c r="K89" s="542" t="s">
        <v>116</v>
      </c>
      <c r="L89" s="543"/>
      <c r="M89" s="542"/>
      <c r="N89" s="543"/>
      <c r="O89" s="542"/>
      <c r="P89" s="543"/>
      <c r="Q89" s="542"/>
      <c r="R89" s="544"/>
      <c r="S89" s="543"/>
      <c r="T89" s="542"/>
      <c r="U89" s="543"/>
      <c r="V89" s="542"/>
      <c r="W89" s="546"/>
    </row>
    <row r="90" spans="1:23" ht="27" thickBot="1">
      <c r="A90" s="326">
        <v>1</v>
      </c>
      <c r="B90" s="327" t="str">
        <f>'FEUILLE POULE'!B27&amp;" "&amp;'FEUILLE POULE'!C27</f>
        <v>DEBORD 0</v>
      </c>
      <c r="C90" s="328"/>
      <c r="D90" s="328"/>
      <c r="E90" s="329"/>
      <c r="F90" s="330"/>
      <c r="G90" s="331"/>
      <c r="H90" s="547">
        <f>'FEUILLE POULE'!E27</f>
        <v>0</v>
      </c>
      <c r="I90" s="548"/>
      <c r="J90" s="549"/>
      <c r="K90" s="550">
        <f>'FEUILLE POULE'!O27</f>
        <v>0</v>
      </c>
      <c r="L90" s="551"/>
      <c r="M90" s="550">
        <f>'FEUILLE POULE'!H27</f>
        <v>0</v>
      </c>
      <c r="N90" s="551"/>
      <c r="O90" s="550">
        <f>'FEUILLE POULE'!I27</f>
        <v>0</v>
      </c>
      <c r="P90" s="551"/>
      <c r="Q90" s="552">
        <f>IF(O90=0,"",M90/O90)</f>
      </c>
      <c r="R90" s="553"/>
      <c r="S90" s="554"/>
      <c r="T90" s="552">
        <f>'FEUILLE POULE'!AA27</f>
        <v>0</v>
      </c>
      <c r="U90" s="554"/>
      <c r="V90" s="555">
        <f>'FEUILLE POULE'!N27</f>
        <v>0</v>
      </c>
      <c r="W90" s="556"/>
    </row>
    <row r="91" spans="1:23" ht="27" thickBot="1">
      <c r="A91" s="326">
        <v>2</v>
      </c>
      <c r="B91" s="327" t="str">
        <f>'FEUILLE POULE'!B28&amp;" "&amp;'FEUILLE POULE'!C28</f>
        <v>SOCRATE 0</v>
      </c>
      <c r="C91" s="328"/>
      <c r="D91" s="328"/>
      <c r="E91" s="329"/>
      <c r="F91" s="330"/>
      <c r="G91" s="331"/>
      <c r="H91" s="547">
        <f>'FEUILLE POULE'!E28</f>
        <v>0</v>
      </c>
      <c r="I91" s="548"/>
      <c r="J91" s="549"/>
      <c r="K91" s="550">
        <f>'FEUILLE POULE'!O28</f>
        <v>0</v>
      </c>
      <c r="L91" s="551"/>
      <c r="M91" s="550">
        <f>'FEUILLE POULE'!H28</f>
        <v>0</v>
      </c>
      <c r="N91" s="551"/>
      <c r="O91" s="550">
        <f>'FEUILLE POULE'!I28</f>
        <v>0</v>
      </c>
      <c r="P91" s="551"/>
      <c r="Q91" s="552">
        <f>IF(O91=0,"",M91/O91)</f>
      </c>
      <c r="R91" s="553"/>
      <c r="S91" s="554"/>
      <c r="T91" s="552">
        <f>'FEUILLE POULE'!AA28</f>
        <v>0</v>
      </c>
      <c r="U91" s="554"/>
      <c r="V91" s="555">
        <f>'FEUILLE POULE'!N28</f>
        <v>0</v>
      </c>
      <c r="W91" s="556"/>
    </row>
    <row r="92" spans="1:23" ht="27" thickBot="1">
      <c r="A92" s="326">
        <v>3</v>
      </c>
      <c r="B92" s="327" t="str">
        <f>'FEUILLE POULE'!B29&amp;" "&amp;'FEUILLE POULE'!C29</f>
        <v>KANT 0</v>
      </c>
      <c r="C92" s="328"/>
      <c r="D92" s="328"/>
      <c r="E92" s="329"/>
      <c r="F92" s="330"/>
      <c r="G92" s="331"/>
      <c r="H92" s="547">
        <f>'FEUILLE POULE'!E29</f>
        <v>0</v>
      </c>
      <c r="I92" s="548"/>
      <c r="J92" s="549"/>
      <c r="K92" s="550">
        <f>'FEUILLE POULE'!O29</f>
        <v>0</v>
      </c>
      <c r="L92" s="551"/>
      <c r="M92" s="550">
        <f>'FEUILLE POULE'!H29</f>
        <v>0</v>
      </c>
      <c r="N92" s="551"/>
      <c r="O92" s="550">
        <f>'FEUILLE POULE'!I29</f>
        <v>0</v>
      </c>
      <c r="P92" s="551"/>
      <c r="Q92" s="552">
        <f>IF(O92=0,"",M92/O92)</f>
      </c>
      <c r="R92" s="553"/>
      <c r="S92" s="554"/>
      <c r="T92" s="552">
        <f>'FEUILLE POULE'!AA29</f>
        <v>0</v>
      </c>
      <c r="U92" s="554"/>
      <c r="V92" s="555">
        <f>'FEUILLE POULE'!N29</f>
        <v>0</v>
      </c>
      <c r="W92" s="556"/>
    </row>
    <row r="93" spans="1:23" ht="27" thickBot="1">
      <c r="A93" s="326">
        <v>4</v>
      </c>
      <c r="B93" s="327" t="str">
        <f>'FEUILLE POULE'!B30&amp;" "&amp;'FEUILLE POULE'!C30</f>
        <v>TORTAJADA 0</v>
      </c>
      <c r="C93" s="328"/>
      <c r="D93" s="328"/>
      <c r="E93" s="329"/>
      <c r="F93" s="330"/>
      <c r="G93" s="331"/>
      <c r="H93" s="547">
        <f>'FEUILLE POULE'!E30</f>
        <v>0</v>
      </c>
      <c r="I93" s="548"/>
      <c r="J93" s="549"/>
      <c r="K93" s="550">
        <f>'FEUILLE POULE'!O30</f>
        <v>0</v>
      </c>
      <c r="L93" s="551"/>
      <c r="M93" s="550">
        <f>'FEUILLE POULE'!H30</f>
        <v>0</v>
      </c>
      <c r="N93" s="551"/>
      <c r="O93" s="550">
        <f>'FEUILLE POULE'!I30</f>
        <v>0</v>
      </c>
      <c r="P93" s="551"/>
      <c r="Q93" s="552">
        <f>IF(O93=0,"",M93/O93)</f>
      </c>
      <c r="R93" s="553"/>
      <c r="S93" s="554"/>
      <c r="T93" s="552">
        <f>'FEUILLE POULE'!AA30</f>
        <v>0</v>
      </c>
      <c r="U93" s="554"/>
      <c r="V93" s="555">
        <f>'FEUILLE POULE'!N30</f>
        <v>0</v>
      </c>
      <c r="W93" s="556"/>
    </row>
    <row r="94" spans="1:23" ht="27" thickBot="1">
      <c r="A94" s="326">
        <v>5</v>
      </c>
      <c r="B94" s="327" t="str">
        <f>'FEUILLE POULE'!B31&amp;" "&amp;'FEUILLE POULE'!C31</f>
        <v>NIETZCHE 0</v>
      </c>
      <c r="C94" s="328"/>
      <c r="D94" s="328"/>
      <c r="E94" s="329"/>
      <c r="F94" s="330"/>
      <c r="G94" s="331"/>
      <c r="H94" s="547">
        <f>'FEUILLE POULE'!E31</f>
        <v>0</v>
      </c>
      <c r="I94" s="548"/>
      <c r="J94" s="549"/>
      <c r="K94" s="550">
        <f>'FEUILLE POULE'!O31</f>
        <v>0</v>
      </c>
      <c r="L94" s="551"/>
      <c r="M94" s="550">
        <f>'FEUILLE POULE'!H31</f>
        <v>0</v>
      </c>
      <c r="N94" s="551"/>
      <c r="O94" s="550">
        <f>'FEUILLE POULE'!I31</f>
        <v>0</v>
      </c>
      <c r="P94" s="551"/>
      <c r="Q94" s="552">
        <f>IF(O94=0,"",M94/O94)</f>
      </c>
      <c r="R94" s="553"/>
      <c r="S94" s="554"/>
      <c r="T94" s="552">
        <f>'FEUILLE POULE'!AA31</f>
        <v>0</v>
      </c>
      <c r="U94" s="554"/>
      <c r="V94" s="555">
        <f>'FEUILLE POULE'!N31</f>
        <v>0</v>
      </c>
      <c r="W94" s="556"/>
    </row>
    <row r="96" spans="1:13" ht="25.5">
      <c r="A96" s="332" t="s">
        <v>155</v>
      </c>
      <c r="B96" s="333"/>
      <c r="C96" s="333"/>
      <c r="D96" s="333"/>
      <c r="E96" s="333"/>
      <c r="F96" s="333"/>
      <c r="G96" s="333"/>
      <c r="H96" s="333"/>
      <c r="I96" s="333"/>
      <c r="J96" s="333"/>
      <c r="K96" s="333"/>
      <c r="L96" s="333"/>
      <c r="M96" s="334"/>
    </row>
    <row r="97" spans="1:13" ht="26.25">
      <c r="A97" s="242"/>
      <c r="B97" s="239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241"/>
    </row>
    <row r="98" spans="1:13" ht="26.25">
      <c r="A98" s="242"/>
      <c r="B98" s="240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241"/>
    </row>
    <row r="99" spans="1:13" ht="25.5">
      <c r="A99" s="243"/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35"/>
    </row>
    <row r="100" spans="1:13" ht="25.5">
      <c r="A100" s="238"/>
      <c r="M100" s="238"/>
    </row>
    <row r="102" spans="1:16" ht="25.5">
      <c r="A102" s="238" t="s">
        <v>117</v>
      </c>
      <c r="C102" s="238"/>
      <c r="D102" s="238"/>
      <c r="E102" s="238"/>
      <c r="F102" s="238"/>
      <c r="G102" s="238"/>
      <c r="H102" s="238"/>
      <c r="I102" s="238"/>
      <c r="K102" s="238"/>
      <c r="L102" s="238"/>
      <c r="P102" s="245" t="s">
        <v>118</v>
      </c>
    </row>
    <row r="103" spans="2:12" ht="26.25">
      <c r="B103" s="238"/>
      <c r="C103" s="244">
        <f>dirjeu</f>
        <v>0</v>
      </c>
      <c r="D103" s="238"/>
      <c r="E103" s="238"/>
      <c r="F103" s="238"/>
      <c r="G103" s="238"/>
      <c r="H103" s="238"/>
      <c r="I103" s="238"/>
      <c r="J103" s="238"/>
      <c r="K103" s="238"/>
      <c r="L103" s="238"/>
    </row>
    <row r="104" spans="2:12" ht="25.5"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</row>
    <row r="105" spans="1:12" ht="25.5">
      <c r="A105" s="238" t="s">
        <v>169</v>
      </c>
      <c r="C105" s="238"/>
      <c r="D105" s="238"/>
      <c r="E105" s="238" t="s">
        <v>156</v>
      </c>
      <c r="F105" s="238"/>
      <c r="G105" s="238"/>
      <c r="H105" s="238"/>
      <c r="I105" s="238"/>
      <c r="J105" s="238"/>
      <c r="K105" s="238"/>
      <c r="L105" s="238"/>
    </row>
  </sheetData>
  <sheetProtection/>
  <mergeCells count="102">
    <mergeCell ref="T91:U91"/>
    <mergeCell ref="M91:N91"/>
    <mergeCell ref="O91:P91"/>
    <mergeCell ref="V94:W94"/>
    <mergeCell ref="H93:J93"/>
    <mergeCell ref="K93:L93"/>
    <mergeCell ref="H7:K8"/>
    <mergeCell ref="N7:Q8"/>
    <mergeCell ref="Q93:S93"/>
    <mergeCell ref="T93:U93"/>
    <mergeCell ref="M93:N93"/>
    <mergeCell ref="O93:P93"/>
    <mergeCell ref="Q91:S91"/>
    <mergeCell ref="V92:W92"/>
    <mergeCell ref="H91:J91"/>
    <mergeCell ref="K91:L91"/>
    <mergeCell ref="V93:W93"/>
    <mergeCell ref="H94:J94"/>
    <mergeCell ref="K94:L94"/>
    <mergeCell ref="M94:N94"/>
    <mergeCell ref="O94:P94"/>
    <mergeCell ref="Q94:S94"/>
    <mergeCell ref="T94:U94"/>
    <mergeCell ref="M89:N89"/>
    <mergeCell ref="O89:P89"/>
    <mergeCell ref="Q89:S89"/>
    <mergeCell ref="V91:W91"/>
    <mergeCell ref="H92:J92"/>
    <mergeCell ref="K92:L92"/>
    <mergeCell ref="M92:N92"/>
    <mergeCell ref="O92:P92"/>
    <mergeCell ref="Q92:S92"/>
    <mergeCell ref="T92:U92"/>
    <mergeCell ref="T89:U89"/>
    <mergeCell ref="V89:W89"/>
    <mergeCell ref="H90:J90"/>
    <mergeCell ref="K90:L90"/>
    <mergeCell ref="M90:N90"/>
    <mergeCell ref="O90:P90"/>
    <mergeCell ref="Q90:S90"/>
    <mergeCell ref="T90:U90"/>
    <mergeCell ref="V90:W90"/>
    <mergeCell ref="K89:L89"/>
    <mergeCell ref="H88:J88"/>
    <mergeCell ref="K88:L88"/>
    <mergeCell ref="M88:N88"/>
    <mergeCell ref="Q88:S88"/>
    <mergeCell ref="V87:W87"/>
    <mergeCell ref="T88:U88"/>
    <mergeCell ref="V88:W88"/>
    <mergeCell ref="D71:W71"/>
    <mergeCell ref="D72:W72"/>
    <mergeCell ref="A82:U82"/>
    <mergeCell ref="A87:A89"/>
    <mergeCell ref="B87:G89"/>
    <mergeCell ref="K87:L87"/>
    <mergeCell ref="M87:N87"/>
    <mergeCell ref="O87:P87"/>
    <mergeCell ref="Q87:S87"/>
    <mergeCell ref="T87:U87"/>
    <mergeCell ref="F46:N46"/>
    <mergeCell ref="P46:W46"/>
    <mergeCell ref="L55:R55"/>
    <mergeCell ref="T55:W55"/>
    <mergeCell ref="N57:U57"/>
    <mergeCell ref="D70:W70"/>
    <mergeCell ref="G36:W36"/>
    <mergeCell ref="D38:W38"/>
    <mergeCell ref="R39:W39"/>
    <mergeCell ref="G41:W41"/>
    <mergeCell ref="C43:H43"/>
    <mergeCell ref="L43:O43"/>
    <mergeCell ref="U43:W43"/>
    <mergeCell ref="R27:W27"/>
    <mergeCell ref="G29:W29"/>
    <mergeCell ref="C31:H31"/>
    <mergeCell ref="L31:O31"/>
    <mergeCell ref="U31:W31"/>
    <mergeCell ref="A34:W34"/>
    <mergeCell ref="B18:G19"/>
    <mergeCell ref="J18:O19"/>
    <mergeCell ref="S18:V19"/>
    <mergeCell ref="W18:W19"/>
    <mergeCell ref="G24:W24"/>
    <mergeCell ref="D26:W26"/>
    <mergeCell ref="B12:G12"/>
    <mergeCell ref="J12:W12"/>
    <mergeCell ref="B13:G15"/>
    <mergeCell ref="J13:W15"/>
    <mergeCell ref="B17:G17"/>
    <mergeCell ref="J17:O17"/>
    <mergeCell ref="S17:W17"/>
    <mergeCell ref="T7:W8"/>
    <mergeCell ref="C1:W1"/>
    <mergeCell ref="C2:W2"/>
    <mergeCell ref="C3:W3"/>
    <mergeCell ref="A5:W5"/>
    <mergeCell ref="A7:A8"/>
    <mergeCell ref="G7:G8"/>
    <mergeCell ref="M7:M8"/>
    <mergeCell ref="S7:S8"/>
    <mergeCell ref="B7:E8"/>
  </mergeCells>
  <conditionalFormatting sqref="H22 M22 Q22 U22">
    <cfRule type="cellIs" priority="1" dxfId="1" operator="equal" stopIfTrue="1">
      <formula>1</formula>
    </cfRule>
    <cfRule type="cellIs" priority="2" dxfId="10" operator="equal" stopIfTrue="1">
      <formula>0</formula>
    </cfRule>
  </conditionalFormatting>
  <conditionalFormatting sqref="G7:G8 A7:A8 M7:M8 S7:S8">
    <cfRule type="cellIs" priority="3" dxfId="11" operator="equal" stopIfTrue="1">
      <formula>"X"</formula>
    </cfRule>
    <cfRule type="cellIs" priority="4" dxfId="1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K67"/>
  <sheetViews>
    <sheetView showGridLines="0" view="pageBreakPreview" zoomScale="85" zoomScaleNormal="85" zoomScaleSheetLayoutView="85" zoomScalePageLayoutView="0" workbookViewId="0" topLeftCell="B1">
      <selection activeCell="E2" sqref="E2"/>
    </sheetView>
  </sheetViews>
  <sheetFormatPr defaultColWidth="11.5546875" defaultRowHeight="15"/>
  <cols>
    <col min="1" max="1" width="4.6640625" style="0" customWidth="1"/>
    <col min="2" max="2" width="2.88671875" style="0" customWidth="1"/>
  </cols>
  <sheetData>
    <row r="1" spans="2:11" ht="24" thickTop="1">
      <c r="B1" s="461" t="s">
        <v>72</v>
      </c>
      <c r="C1" s="462"/>
      <c r="D1" s="462"/>
      <c r="E1" s="462"/>
      <c r="F1" s="462"/>
      <c r="G1" s="462"/>
      <c r="H1" s="462"/>
      <c r="I1" s="462"/>
      <c r="J1" s="462"/>
      <c r="K1" s="463"/>
    </row>
    <row r="2" spans="2:11" ht="15">
      <c r="B2" s="78"/>
      <c r="C2" s="43"/>
      <c r="D2" s="43"/>
      <c r="E2" s="43"/>
      <c r="F2" s="43"/>
      <c r="G2" s="43"/>
      <c r="H2" s="43"/>
      <c r="I2" s="43"/>
      <c r="J2" s="43"/>
      <c r="K2" s="79"/>
    </row>
    <row r="3" spans="2:11" ht="16.5" thickBot="1">
      <c r="B3" s="80"/>
      <c r="C3" s="81" t="str">
        <f>design1</f>
        <v>REGIONALE 2</v>
      </c>
      <c r="D3" s="81"/>
      <c r="E3" s="98" t="str">
        <f>design2</f>
        <v>RANKING</v>
      </c>
      <c r="F3" s="99"/>
      <c r="G3" s="82" t="s">
        <v>40</v>
      </c>
      <c r="H3" s="83" t="str">
        <f>bill</f>
        <v>2m80</v>
      </c>
      <c r="I3" s="82" t="s">
        <v>41</v>
      </c>
      <c r="J3" s="83">
        <f>DISTANCE</f>
        <v>25</v>
      </c>
      <c r="K3" s="100" t="s">
        <v>25</v>
      </c>
    </row>
    <row r="4" ht="15.75" thickTop="1"/>
    <row r="5" spans="2:10" ht="23.25">
      <c r="B5" s="97" t="str">
        <f>lieue</f>
        <v>Billard Club Ruthénois</v>
      </c>
      <c r="C5" s="97"/>
      <c r="D5" s="97"/>
      <c r="E5" s="97"/>
      <c r="G5" s="87" t="str">
        <f>dat</f>
        <v>Les 17 et 18 novembre 2007</v>
      </c>
      <c r="J5" s="205" t="str">
        <f>modjeu</f>
        <v>3 BANDES</v>
      </c>
    </row>
    <row r="6" ht="15.75" thickBot="1">
      <c r="B6" s="85"/>
    </row>
    <row r="7" spans="1:11" ht="15.75" thickTop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0" ht="15">
      <c r="A8" t="s">
        <v>21</v>
      </c>
      <c r="C8" s="85" t="s">
        <v>15</v>
      </c>
      <c r="E8" s="85" t="s">
        <v>4</v>
      </c>
      <c r="G8" s="47" t="s">
        <v>5</v>
      </c>
      <c r="I8" s="459" t="s">
        <v>43</v>
      </c>
      <c r="J8" s="459"/>
    </row>
    <row r="9" spans="1:10" ht="15.75">
      <c r="A9" s="86">
        <v>1</v>
      </c>
      <c r="C9" s="87" t="str">
        <f>VLOOKUP($A9,init1,2,FALSE)</f>
        <v>SOCRATE</v>
      </c>
      <c r="D9" s="87"/>
      <c r="E9" s="87">
        <f>VLOOKUP($A9,init1,3,FALSE)</f>
        <v>0</v>
      </c>
      <c r="F9" s="87"/>
      <c r="G9" s="88">
        <f>VLOOKUP($A9,init1,4,FALSE)</f>
        <v>0</v>
      </c>
      <c r="H9" s="87"/>
      <c r="I9" s="460">
        <f>VLOOKUP($A9,init1,5,FALSE)</f>
        <v>0</v>
      </c>
      <c r="J9" s="460"/>
    </row>
    <row r="10" ht="15.75" thickBot="1"/>
    <row r="11" spans="3:11" ht="15.75" thickBot="1">
      <c r="C11" s="109" t="s">
        <v>44</v>
      </c>
      <c r="D11" s="110" t="s">
        <v>45</v>
      </c>
      <c r="E11" s="111" t="s">
        <v>8</v>
      </c>
      <c r="F11" s="111" t="s">
        <v>12</v>
      </c>
      <c r="G11" s="111" t="s">
        <v>13</v>
      </c>
      <c r="H11" s="111" t="s">
        <v>14</v>
      </c>
      <c r="I11" s="111" t="s">
        <v>9</v>
      </c>
      <c r="J11" s="112" t="s">
        <v>46</v>
      </c>
      <c r="K11" s="43"/>
    </row>
    <row r="12" spans="1:11" ht="15">
      <c r="A12" t="str">
        <f>A$9&amp;1</f>
        <v>11</v>
      </c>
      <c r="C12" s="89">
        <f>VLOOKUP($A12,trifin1,3,FALSE)</f>
        <v>3</v>
      </c>
      <c r="D12" s="113" t="str">
        <f>VLOOKUP($A12,trifin1,9,FALSE)</f>
        <v>TORTAJADA</v>
      </c>
      <c r="E12" s="90">
        <f>VLOOKUP($A12,trifin1,5,FALSE)</f>
      </c>
      <c r="F12" s="90">
        <f>VLOOKUP($A12,trifin1,6,FALSE)</f>
      </c>
      <c r="G12" s="347">
        <f>IF(F12="","",E12/F12)</f>
      </c>
      <c r="H12" s="348" t="str">
        <f>IF(E12=DISTANCE,G12,"-")</f>
        <v>-</v>
      </c>
      <c r="I12" s="90">
        <f>VLOOKUP($A12,trifin1,7,FALSE)</f>
      </c>
      <c r="J12" s="91">
        <f>VLOOKUP($A12,trifin1,8,FALSE)</f>
      </c>
      <c r="K12" s="43"/>
    </row>
    <row r="13" spans="1:11" ht="15">
      <c r="A13" t="str">
        <f>A$9&amp;2</f>
        <v>12</v>
      </c>
      <c r="C13" s="92">
        <f>VLOOKUP($A13,trifin1,3,FALSE)</f>
        <v>6</v>
      </c>
      <c r="D13" s="106" t="str">
        <f>VLOOKUP($A13,trifin1,9,FALSE)</f>
        <v>DEBORD</v>
      </c>
      <c r="E13" s="93">
        <f>VLOOKUP($A13,trifin1,5,FALSE)</f>
      </c>
      <c r="F13" s="93">
        <f>VLOOKUP($A13,trifin1,6,FALSE)</f>
      </c>
      <c r="G13" s="349">
        <f>IF(F13="","",E13/F13)</f>
      </c>
      <c r="H13" s="349" t="str">
        <f>IF(E13=DISTANCE,G13,"-")</f>
        <v>-</v>
      </c>
      <c r="I13" s="93">
        <f>VLOOKUP($A13,trifin1,7,FALSE)</f>
      </c>
      <c r="J13" s="94">
        <f>VLOOKUP($A13,trifin1,8,FALSE)</f>
      </c>
      <c r="K13" s="385"/>
    </row>
    <row r="14" spans="1:11" ht="15">
      <c r="A14" t="str">
        <f>A$9&amp;3</f>
        <v>13</v>
      </c>
      <c r="C14" s="92">
        <f>VLOOKUP($A14,trifin1,3,FALSE)</f>
        <v>8</v>
      </c>
      <c r="D14" s="106" t="str">
        <f>VLOOKUP($A14,trifin1,9,FALSE)</f>
        <v>NIETZCHE</v>
      </c>
      <c r="E14" s="93">
        <f>VLOOKUP($A14,trifin1,5,FALSE)</f>
      </c>
      <c r="F14" s="93">
        <f>VLOOKUP($A14,trifin1,6,FALSE)</f>
      </c>
      <c r="G14" s="349">
        <f>IF(F14="","",E14/F14)</f>
      </c>
      <c r="H14" s="349" t="str">
        <f>IF(E14=DISTANCE,G14,"-")</f>
        <v>-</v>
      </c>
      <c r="I14" s="93">
        <f>VLOOKUP($A14,trifin1,7,FALSE)</f>
      </c>
      <c r="J14" s="94">
        <f>VLOOKUP($A14,trifin1,8,FALSE)</f>
      </c>
      <c r="K14" s="386"/>
    </row>
    <row r="15" spans="1:11" ht="15.75" thickBot="1">
      <c r="A15" t="str">
        <f>A$9&amp;4</f>
        <v>14</v>
      </c>
      <c r="C15" s="105">
        <f>VLOOKUP($A15,trifin1,3,FALSE)</f>
        <v>9</v>
      </c>
      <c r="D15" s="107" t="str">
        <f>VLOOKUP($A15,trifin1,9,FALSE)</f>
        <v>KANT</v>
      </c>
      <c r="E15" s="95">
        <f>VLOOKUP($A15,trifin1,5,FALSE)</f>
      </c>
      <c r="F15" s="95">
        <f>VLOOKUP($A15,trifin1,6,FALSE)</f>
      </c>
      <c r="G15" s="350">
        <f>IF(F15="","",E15/F15)</f>
      </c>
      <c r="H15" s="350" t="str">
        <f>IF(E15=DISTANCE,G15,"-")</f>
        <v>-</v>
      </c>
      <c r="I15" s="95">
        <f>VLOOKUP($A15,trifin1,7,FALSE)</f>
      </c>
      <c r="J15" s="96">
        <f>VLOOKUP($A15,trifin1,8,FALSE)</f>
      </c>
      <c r="K15" s="386"/>
    </row>
    <row r="16" spans="3:11" ht="15.75" thickBot="1">
      <c r="C16" s="101"/>
      <c r="D16" s="108" t="s">
        <v>47</v>
      </c>
      <c r="E16" s="102">
        <f>SUM(E12:E15)</f>
        <v>0</v>
      </c>
      <c r="F16" s="102">
        <f>SUM(F12:F15)</f>
        <v>0</v>
      </c>
      <c r="G16" s="351">
        <f>IF(F16=0,"",E16/F16)</f>
      </c>
      <c r="H16" s="351">
        <f>MAX(H12:H15)</f>
        <v>0</v>
      </c>
      <c r="I16" s="103">
        <f>MAX(I12:I15)</f>
        <v>0</v>
      </c>
      <c r="J16" s="104">
        <f>SUM(J12:J15)</f>
        <v>0</v>
      </c>
      <c r="K16" s="386"/>
    </row>
    <row r="17" spans="3:11" ht="15.75">
      <c r="C17" s="458" t="s">
        <v>48</v>
      </c>
      <c r="D17" s="458"/>
      <c r="E17" s="458"/>
      <c r="F17" s="86" t="str">
        <f>VLOOKUP($C9,clasfin,9,FALSE)</f>
        <v>2ème</v>
      </c>
      <c r="K17" s="43"/>
    </row>
    <row r="18" spans="10:11" ht="15.75" thickBot="1">
      <c r="J18" s="99"/>
      <c r="K18" s="99"/>
    </row>
    <row r="19" spans="1:11" ht="15.75" thickTop="1">
      <c r="A19" s="41"/>
      <c r="B19" s="41"/>
      <c r="C19" s="41"/>
      <c r="D19" s="41"/>
      <c r="E19" s="41"/>
      <c r="F19" s="41"/>
      <c r="G19" s="41"/>
      <c r="H19" s="41"/>
      <c r="I19" s="41"/>
      <c r="J19" s="43"/>
      <c r="K19" s="43"/>
    </row>
    <row r="20" spans="1:11" ht="15">
      <c r="A20" t="s">
        <v>21</v>
      </c>
      <c r="C20" s="85" t="s">
        <v>15</v>
      </c>
      <c r="E20" s="85" t="s">
        <v>4</v>
      </c>
      <c r="G20" s="47" t="s">
        <v>5</v>
      </c>
      <c r="I20" s="459" t="s">
        <v>43</v>
      </c>
      <c r="J20" s="459"/>
      <c r="K20" s="43"/>
    </row>
    <row r="21" spans="1:11" ht="15.75">
      <c r="A21" s="86">
        <v>2</v>
      </c>
      <c r="C21" s="87" t="str">
        <f>VLOOKUP($A21,init1,2,FALSE)</f>
        <v>KANT</v>
      </c>
      <c r="D21" s="87"/>
      <c r="E21" s="87">
        <f>VLOOKUP($A21,init1,3,FALSE)</f>
        <v>0</v>
      </c>
      <c r="F21" s="87"/>
      <c r="G21" s="88">
        <f>VLOOKUP($A21,init1,4,FALSE)</f>
        <v>0</v>
      </c>
      <c r="H21" s="87"/>
      <c r="I21" s="460">
        <f>VLOOKUP($A21,init1,5,FALSE)</f>
        <v>0</v>
      </c>
      <c r="J21" s="460"/>
      <c r="K21" s="43"/>
    </row>
    <row r="22" ht="15.75" thickBot="1">
      <c r="K22" s="43"/>
    </row>
    <row r="23" spans="3:11" ht="15.75" thickBot="1">
      <c r="C23" s="109" t="s">
        <v>44</v>
      </c>
      <c r="D23" s="110" t="s">
        <v>45</v>
      </c>
      <c r="E23" s="111" t="s">
        <v>8</v>
      </c>
      <c r="F23" s="111" t="s">
        <v>12</v>
      </c>
      <c r="G23" s="111" t="s">
        <v>13</v>
      </c>
      <c r="H23" s="111" t="s">
        <v>14</v>
      </c>
      <c r="I23" s="111" t="s">
        <v>9</v>
      </c>
      <c r="J23" s="112" t="s">
        <v>46</v>
      </c>
      <c r="K23" s="43"/>
    </row>
    <row r="24" spans="1:11" ht="15">
      <c r="A24" t="str">
        <f>A$21&amp;1</f>
        <v>21</v>
      </c>
      <c r="C24" s="89">
        <f>VLOOKUP($A24,trifin1,3,FALSE)</f>
        <v>2</v>
      </c>
      <c r="D24" s="113" t="str">
        <f>VLOOKUP($A24,trifin1,9,FALSE)</f>
        <v>TORTAJADA</v>
      </c>
      <c r="E24" s="90">
        <f>VLOOKUP($A24,trifin1,5,FALSE)</f>
      </c>
      <c r="F24" s="90">
        <f>VLOOKUP($A24,trifin1,6,FALSE)</f>
      </c>
      <c r="G24" s="347">
        <f>IF(F24="","",E24/F24)</f>
      </c>
      <c r="H24" s="348" t="str">
        <f>IF(E24=DISTANCE,G24,"-")</f>
        <v>-</v>
      </c>
      <c r="I24" s="90">
        <f>VLOOKUP($A24,trifin1,7,FALSE)</f>
      </c>
      <c r="J24" s="91">
        <f>VLOOKUP($A24,trifin1,8,FALSE)</f>
      </c>
      <c r="K24" s="43"/>
    </row>
    <row r="25" spans="1:11" ht="15">
      <c r="A25" t="str">
        <f>A$21&amp;2</f>
        <v>22</v>
      </c>
      <c r="C25" s="92">
        <f>VLOOKUP($A25,trifin1,3,FALSE)</f>
        <v>4</v>
      </c>
      <c r="D25" s="106" t="str">
        <f>VLOOKUP($A25,trifin1,9,FALSE)</f>
        <v>NIETZCHE</v>
      </c>
      <c r="E25" s="93">
        <f>VLOOKUP($A25,trifin1,5,FALSE)</f>
      </c>
      <c r="F25" s="93">
        <f>VLOOKUP($A25,trifin1,6,FALSE)</f>
      </c>
      <c r="G25" s="349">
        <f>IF(F25="","",E25/F25)</f>
      </c>
      <c r="H25" s="349" t="str">
        <f>IF(E25=DISTANCE,G25,"-")</f>
        <v>-</v>
      </c>
      <c r="I25" s="93">
        <f>VLOOKUP($A25,trifin1,7,FALSE)</f>
      </c>
      <c r="J25" s="94">
        <f>VLOOKUP($A25,trifin1,8,FALSE)</f>
      </c>
      <c r="K25" s="385"/>
    </row>
    <row r="26" spans="1:11" ht="15">
      <c r="A26" t="str">
        <f>A$21&amp;3</f>
        <v>23</v>
      </c>
      <c r="C26" s="92">
        <f>VLOOKUP($A26,trifin1,3,FALSE)</f>
        <v>7</v>
      </c>
      <c r="D26" s="106" t="str">
        <f>VLOOKUP($A26,trifin1,9,FALSE)</f>
        <v>DEBORD</v>
      </c>
      <c r="E26" s="93">
        <f>VLOOKUP($A26,trifin1,5,FALSE)</f>
      </c>
      <c r="F26" s="93">
        <f>VLOOKUP($A26,trifin1,6,FALSE)</f>
      </c>
      <c r="G26" s="349">
        <f>IF(F26="","",E26/F26)</f>
      </c>
      <c r="H26" s="349" t="str">
        <f>IF(E26=DISTANCE,G26,"-")</f>
        <v>-</v>
      </c>
      <c r="I26" s="93">
        <f>VLOOKUP($A26,trifin1,7,FALSE)</f>
      </c>
      <c r="J26" s="94">
        <f>VLOOKUP($A26,trifin1,8,FALSE)</f>
      </c>
      <c r="K26" s="386"/>
    </row>
    <row r="27" spans="1:11" ht="15.75" thickBot="1">
      <c r="A27" t="str">
        <f>A$21&amp;4</f>
        <v>24</v>
      </c>
      <c r="C27" s="105">
        <f>VLOOKUP($A27,trifin1,3,FALSE)</f>
        <v>9</v>
      </c>
      <c r="D27" s="107" t="str">
        <f>VLOOKUP($A27,trifin1,9,FALSE)</f>
        <v>SOCRATE</v>
      </c>
      <c r="E27" s="95">
        <f>VLOOKUP($A27,trifin1,5,FALSE)</f>
      </c>
      <c r="F27" s="95">
        <f>VLOOKUP($A27,trifin1,6,FALSE)</f>
      </c>
      <c r="G27" s="350">
        <f>IF(F27="","",E27/F27)</f>
      </c>
      <c r="H27" s="350" t="str">
        <f>IF(E27=DISTANCE,G27,"-")</f>
        <v>-</v>
      </c>
      <c r="I27" s="95">
        <f>VLOOKUP($A27,trifin1,7,FALSE)</f>
      </c>
      <c r="J27" s="96">
        <f>VLOOKUP($A27,trifin1,8,FALSE)</f>
      </c>
      <c r="K27" s="386"/>
    </row>
    <row r="28" spans="3:11" ht="15.75" thickBot="1">
      <c r="C28" s="101"/>
      <c r="D28" s="108" t="s">
        <v>47</v>
      </c>
      <c r="E28" s="102">
        <f>SUM(E24:E27)</f>
        <v>0</v>
      </c>
      <c r="F28" s="102">
        <f>SUM(F24:F27)</f>
        <v>0</v>
      </c>
      <c r="G28" s="351">
        <f>IF(F28=0,"",E28/F28)</f>
      </c>
      <c r="H28" s="351">
        <f>MAX(H24:H27)</f>
        <v>0</v>
      </c>
      <c r="I28" s="103">
        <f>MAX(I24:I27)</f>
        <v>0</v>
      </c>
      <c r="J28" s="104">
        <f>SUM(J24:J27)</f>
        <v>0</v>
      </c>
      <c r="K28" s="386"/>
    </row>
    <row r="29" spans="3:11" ht="15.75">
      <c r="C29" s="458" t="s">
        <v>48</v>
      </c>
      <c r="D29" s="458"/>
      <c r="E29" s="458"/>
      <c r="F29" s="86" t="str">
        <f>VLOOKUP($C21,clasfin,9,FALSE)</f>
        <v>3ème</v>
      </c>
      <c r="K29" s="43"/>
    </row>
    <row r="30" spans="10:11" ht="15.75" thickBot="1">
      <c r="J30" s="99"/>
      <c r="K30" s="99"/>
    </row>
    <row r="31" spans="1:11" ht="15.75" thickTop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3"/>
    </row>
    <row r="32" spans="1:11" ht="15">
      <c r="A32" t="s">
        <v>21</v>
      </c>
      <c r="C32" s="85" t="s">
        <v>15</v>
      </c>
      <c r="E32" s="85" t="s">
        <v>4</v>
      </c>
      <c r="G32" s="47" t="s">
        <v>5</v>
      </c>
      <c r="I32" s="459" t="s">
        <v>43</v>
      </c>
      <c r="J32" s="459"/>
      <c r="K32" s="43"/>
    </row>
    <row r="33" spans="1:11" ht="15.75">
      <c r="A33" s="86">
        <v>3</v>
      </c>
      <c r="C33" s="87" t="str">
        <f>VLOOKUP($A33,init1,2,FALSE)</f>
        <v>NIETZCHE</v>
      </c>
      <c r="D33" s="87"/>
      <c r="E33" s="87">
        <f>VLOOKUP($A33,init1,3,FALSE)</f>
        <v>0</v>
      </c>
      <c r="F33" s="87"/>
      <c r="G33" s="88">
        <f>VLOOKUP($A33,init1,4,FALSE)</f>
        <v>0</v>
      </c>
      <c r="H33" s="87"/>
      <c r="I33" s="460">
        <f>VLOOKUP($A33,init1,5,FALSE)</f>
        <v>0</v>
      </c>
      <c r="J33" s="460"/>
      <c r="K33" s="43"/>
    </row>
    <row r="34" ht="15.75" thickBot="1">
      <c r="K34" s="43"/>
    </row>
    <row r="35" spans="3:11" ht="15.75" thickBot="1">
      <c r="C35" s="109" t="s">
        <v>44</v>
      </c>
      <c r="D35" s="110" t="s">
        <v>45</v>
      </c>
      <c r="E35" s="111" t="s">
        <v>8</v>
      </c>
      <c r="F35" s="111" t="s">
        <v>12</v>
      </c>
      <c r="G35" s="111" t="s">
        <v>13</v>
      </c>
      <c r="H35" s="111" t="s">
        <v>14</v>
      </c>
      <c r="I35" s="111" t="s">
        <v>9</v>
      </c>
      <c r="J35" s="112" t="s">
        <v>46</v>
      </c>
      <c r="K35" s="43"/>
    </row>
    <row r="36" spans="1:11" ht="15">
      <c r="A36" t="str">
        <f>A$33&amp;1</f>
        <v>31</v>
      </c>
      <c r="C36" s="89">
        <f>VLOOKUP($A36,trifin1,3,FALSE)</f>
        <v>1</v>
      </c>
      <c r="D36" s="113" t="str">
        <f>VLOOKUP($A36,trifin1,9,FALSE)</f>
        <v>DEBORD</v>
      </c>
      <c r="E36" s="90">
        <f>VLOOKUP($A36,trifin1,5,FALSE)</f>
      </c>
      <c r="F36" s="90">
        <f>VLOOKUP($A36,trifin1,6,FALSE)</f>
      </c>
      <c r="G36" s="347">
        <f>IF(F36="","",E36/F36)</f>
      </c>
      <c r="H36" s="348" t="str">
        <f>IF(E36=DISTANCE,G36,"-")</f>
        <v>-</v>
      </c>
      <c r="I36" s="90">
        <f>VLOOKUP($A36,trifin1,7,FALSE)</f>
      </c>
      <c r="J36" s="91">
        <f>VLOOKUP($A36,trifin1,8,FALSE)</f>
      </c>
      <c r="K36" s="43"/>
    </row>
    <row r="37" spans="1:11" ht="15">
      <c r="A37" t="str">
        <f>A$33&amp;2</f>
        <v>32</v>
      </c>
      <c r="C37" s="92">
        <f>VLOOKUP($A37,trifin1,3,FALSE)</f>
        <v>4</v>
      </c>
      <c r="D37" s="106" t="str">
        <f>VLOOKUP($A37,trifin1,9,FALSE)</f>
        <v>KANT</v>
      </c>
      <c r="E37" s="93">
        <f>VLOOKUP($A37,trifin1,5,FALSE)</f>
      </c>
      <c r="F37" s="93">
        <f>VLOOKUP($A37,trifin1,6,FALSE)</f>
      </c>
      <c r="G37" s="349">
        <f>IF(F37="","",E37/F37)</f>
      </c>
      <c r="H37" s="349" t="str">
        <f>IF(E37=DISTANCE,G37,"-")</f>
        <v>-</v>
      </c>
      <c r="I37" s="93">
        <f>VLOOKUP($A37,trifin1,7,FALSE)</f>
      </c>
      <c r="J37" s="94">
        <f>VLOOKUP($A37,trifin1,8,FALSE)</f>
      </c>
      <c r="K37" s="385"/>
    </row>
    <row r="38" spans="1:11" ht="15">
      <c r="A38" t="str">
        <f>A$33&amp;3</f>
        <v>33</v>
      </c>
      <c r="C38" s="92">
        <f>VLOOKUP($A38,trifin1,3,FALSE)</f>
        <v>5</v>
      </c>
      <c r="D38" s="106" t="str">
        <f>VLOOKUP($A38,trifin1,9,FALSE)</f>
        <v>TORTAJADA</v>
      </c>
      <c r="E38" s="93">
        <f>VLOOKUP($A38,trifin1,5,FALSE)</f>
      </c>
      <c r="F38" s="93">
        <f>VLOOKUP($A38,trifin1,6,FALSE)</f>
      </c>
      <c r="G38" s="349">
        <f>IF(F38="","",E38/F38)</f>
      </c>
      <c r="H38" s="349" t="str">
        <f>IF(E38=DISTANCE,G38,"-")</f>
        <v>-</v>
      </c>
      <c r="I38" s="93">
        <f>VLOOKUP($A38,trifin1,7,FALSE)</f>
      </c>
      <c r="J38" s="94">
        <f>VLOOKUP($A38,trifin1,8,FALSE)</f>
      </c>
      <c r="K38" s="386"/>
    </row>
    <row r="39" spans="1:11" ht="15.75" thickBot="1">
      <c r="A39" t="str">
        <f>A$33&amp;4</f>
        <v>34</v>
      </c>
      <c r="C39" s="105">
        <f>VLOOKUP($A39,trifin1,3,FALSE)</f>
        <v>8</v>
      </c>
      <c r="D39" s="107" t="str">
        <f>VLOOKUP($A39,trifin1,9,FALSE)</f>
        <v>SOCRATE</v>
      </c>
      <c r="E39" s="95">
        <f>VLOOKUP($A39,trifin1,5,FALSE)</f>
      </c>
      <c r="F39" s="95">
        <f>VLOOKUP($A39,trifin1,6,FALSE)</f>
      </c>
      <c r="G39" s="350">
        <f>IF(F39="","",E39/F39)</f>
      </c>
      <c r="H39" s="350" t="str">
        <f>IF(E39=DISTANCE,G39,"-")</f>
        <v>-</v>
      </c>
      <c r="I39" s="95">
        <f>VLOOKUP($A39,trifin1,7,FALSE)</f>
      </c>
      <c r="J39" s="96">
        <f>VLOOKUP($A39,trifin1,8,FALSE)</f>
      </c>
      <c r="K39" s="386"/>
    </row>
    <row r="40" spans="3:11" ht="15.75" thickBot="1">
      <c r="C40" s="101"/>
      <c r="D40" s="108" t="s">
        <v>47</v>
      </c>
      <c r="E40" s="102">
        <f>SUM(E36:E39)</f>
        <v>0</v>
      </c>
      <c r="F40" s="102">
        <f>SUM(F36:F39)</f>
        <v>0</v>
      </c>
      <c r="G40" s="351">
        <f>IF(F40=0,"",E40/F40)</f>
      </c>
      <c r="H40" s="351">
        <f>MAX(H36:H39)</f>
        <v>0</v>
      </c>
      <c r="I40" s="103">
        <f>MAX(I36:I39)</f>
        <v>0</v>
      </c>
      <c r="J40" s="104">
        <f>SUM(J36:J39)</f>
        <v>0</v>
      </c>
      <c r="K40" s="386"/>
    </row>
    <row r="41" spans="3:11" ht="15.75">
      <c r="C41" s="458" t="s">
        <v>48</v>
      </c>
      <c r="D41" s="458"/>
      <c r="E41" s="458"/>
      <c r="F41" s="86" t="str">
        <f>VLOOKUP($C33,clasfin,9,FALSE)</f>
        <v>5ème</v>
      </c>
      <c r="K41" s="43"/>
    </row>
    <row r="42" spans="10:11" ht="15.75" thickBot="1">
      <c r="J42" s="99"/>
      <c r="K42" s="99"/>
    </row>
    <row r="43" spans="1:11" ht="15.75" thickTop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3"/>
    </row>
    <row r="44" spans="1:11" ht="15">
      <c r="A44" t="s">
        <v>21</v>
      </c>
      <c r="C44" s="85" t="s">
        <v>15</v>
      </c>
      <c r="E44" s="85" t="s">
        <v>4</v>
      </c>
      <c r="G44" s="47" t="s">
        <v>5</v>
      </c>
      <c r="I44" s="459" t="s">
        <v>43</v>
      </c>
      <c r="J44" s="459"/>
      <c r="K44" s="43"/>
    </row>
    <row r="45" spans="1:11" ht="15.75">
      <c r="A45" s="86">
        <v>4</v>
      </c>
      <c r="C45" s="87" t="str">
        <f>VLOOKUP($A45,init1,2,FALSE)</f>
        <v>DEBORD</v>
      </c>
      <c r="D45" s="87"/>
      <c r="E45" s="87">
        <f>VLOOKUP($A45,init1,3,FALSE)</f>
        <v>0</v>
      </c>
      <c r="F45" s="87"/>
      <c r="G45" s="88">
        <f>VLOOKUP($A45,init1,4,FALSE)</f>
        <v>0</v>
      </c>
      <c r="H45" s="87"/>
      <c r="I45" s="460">
        <f>VLOOKUP($A45,init1,5,FALSE)</f>
        <v>0</v>
      </c>
      <c r="J45" s="460"/>
      <c r="K45" s="43"/>
    </row>
    <row r="46" ht="15.75" thickBot="1">
      <c r="K46" s="43"/>
    </row>
    <row r="47" spans="3:11" ht="15.75" thickBot="1">
      <c r="C47" s="109" t="s">
        <v>44</v>
      </c>
      <c r="D47" s="110" t="s">
        <v>45</v>
      </c>
      <c r="E47" s="111" t="s">
        <v>8</v>
      </c>
      <c r="F47" s="111" t="s">
        <v>12</v>
      </c>
      <c r="G47" s="111" t="s">
        <v>13</v>
      </c>
      <c r="H47" s="111" t="s">
        <v>14</v>
      </c>
      <c r="I47" s="111" t="s">
        <v>9</v>
      </c>
      <c r="J47" s="112" t="s">
        <v>46</v>
      </c>
      <c r="K47" s="43"/>
    </row>
    <row r="48" spans="1:11" ht="15">
      <c r="A48" t="str">
        <f>A$45&amp;1</f>
        <v>41</v>
      </c>
      <c r="C48" s="89">
        <f>VLOOKUP($A48,trifin1,3,FALSE)</f>
        <v>1</v>
      </c>
      <c r="D48" s="113" t="str">
        <f>VLOOKUP($A48,trifin1,9,FALSE)</f>
        <v>NIETZCHE</v>
      </c>
      <c r="E48" s="90">
        <f>VLOOKUP($A48,trifin1,5,FALSE)</f>
      </c>
      <c r="F48" s="90">
        <f>VLOOKUP($A48,trifin1,6,FALSE)</f>
      </c>
      <c r="G48" s="347">
        <f>IF(F48="","",E48/F48)</f>
      </c>
      <c r="H48" s="348" t="str">
        <f>IF(E48=DISTANCE,G48,"-")</f>
        <v>-</v>
      </c>
      <c r="I48" s="90">
        <f>VLOOKUP($A48,trifin1,7,FALSE)</f>
      </c>
      <c r="J48" s="91">
        <f>VLOOKUP($A48,trifin1,8,FALSE)</f>
      </c>
      <c r="K48" s="43"/>
    </row>
    <row r="49" spans="1:11" ht="15">
      <c r="A49" t="str">
        <f>A$45&amp;2</f>
        <v>42</v>
      </c>
      <c r="C49" s="92">
        <f>VLOOKUP($A49,trifin1,3,FALSE)</f>
        <v>6</v>
      </c>
      <c r="D49" s="106" t="str">
        <f>VLOOKUP($A49,trifin1,9,FALSE)</f>
        <v>SOCRATE</v>
      </c>
      <c r="E49" s="93">
        <f>VLOOKUP($A49,trifin1,5,FALSE)</f>
      </c>
      <c r="F49" s="93">
        <f>VLOOKUP($A49,trifin1,6,FALSE)</f>
      </c>
      <c r="G49" s="349">
        <f>IF(F49="","",E49/F49)</f>
      </c>
      <c r="H49" s="349" t="str">
        <f>IF(E49=DISTANCE,G49,"-")</f>
        <v>-</v>
      </c>
      <c r="I49" s="93">
        <f>VLOOKUP($A49,trifin1,7,FALSE)</f>
      </c>
      <c r="J49" s="94">
        <f>VLOOKUP($A49,trifin1,8,FALSE)</f>
      </c>
      <c r="K49" s="385"/>
    </row>
    <row r="50" spans="1:11" ht="15">
      <c r="A50" t="str">
        <f>A$45&amp;3</f>
        <v>43</v>
      </c>
      <c r="C50" s="92">
        <f>VLOOKUP($A50,trifin1,3,FALSE)</f>
        <v>7</v>
      </c>
      <c r="D50" s="106" t="str">
        <f>VLOOKUP($A50,trifin1,9,FALSE)</f>
        <v>KANT</v>
      </c>
      <c r="E50" s="93">
        <f>VLOOKUP($A50,trifin1,5,FALSE)</f>
      </c>
      <c r="F50" s="93">
        <f>VLOOKUP($A50,trifin1,6,FALSE)</f>
      </c>
      <c r="G50" s="349">
        <f>IF(F50="","",E50/F50)</f>
      </c>
      <c r="H50" s="349" t="str">
        <f>IF(E50=DISTANCE,G50,"-")</f>
        <v>-</v>
      </c>
      <c r="I50" s="93">
        <f>VLOOKUP($A50,trifin1,7,FALSE)</f>
      </c>
      <c r="J50" s="94">
        <f>VLOOKUP($A50,trifin1,8,FALSE)</f>
      </c>
      <c r="K50" s="386"/>
    </row>
    <row r="51" spans="1:11" ht="15.75" thickBot="1">
      <c r="A51" t="str">
        <f>A$45&amp;4</f>
        <v>44</v>
      </c>
      <c r="C51" s="105">
        <f>VLOOKUP($A51,trifin1,3,FALSE)</f>
        <v>10</v>
      </c>
      <c r="D51" s="107" t="str">
        <f>VLOOKUP($A51,trifin1,9,FALSE)</f>
        <v>TORTAJADA</v>
      </c>
      <c r="E51" s="95">
        <f>VLOOKUP($A51,trifin1,5,FALSE)</f>
      </c>
      <c r="F51" s="95">
        <f>VLOOKUP($A51,trifin1,6,FALSE)</f>
      </c>
      <c r="G51" s="350">
        <f>IF(F51="","",E51/F51)</f>
      </c>
      <c r="H51" s="350" t="str">
        <f>IF(E51=DISTANCE,G51,"-")</f>
        <v>-</v>
      </c>
      <c r="I51" s="95">
        <f>VLOOKUP($A51,trifin1,7,FALSE)</f>
      </c>
      <c r="J51" s="96">
        <f>VLOOKUP($A51,trifin1,8,FALSE)</f>
      </c>
      <c r="K51" s="386"/>
    </row>
    <row r="52" spans="3:11" ht="15.75" thickBot="1">
      <c r="C52" s="101"/>
      <c r="D52" s="108" t="s">
        <v>47</v>
      </c>
      <c r="E52" s="102">
        <f>SUM(E48:E51)</f>
        <v>0</v>
      </c>
      <c r="F52" s="102">
        <f>SUM(F48:F51)</f>
        <v>0</v>
      </c>
      <c r="G52" s="351">
        <f>IF(F52=0,"",E52/F52)</f>
      </c>
      <c r="H52" s="351">
        <f>MAX(H48:H51)</f>
        <v>0</v>
      </c>
      <c r="I52" s="103">
        <f>MAX(I48:I51)</f>
        <v>0</v>
      </c>
      <c r="J52" s="104">
        <f>SUM(J48:J51)</f>
        <v>0</v>
      </c>
      <c r="K52" s="386"/>
    </row>
    <row r="53" spans="3:11" ht="15.75">
      <c r="C53" s="458" t="s">
        <v>48</v>
      </c>
      <c r="D53" s="458"/>
      <c r="E53" s="458"/>
      <c r="F53" s="86" t="str">
        <f>VLOOKUP($C45,clasfin,9,FALSE)</f>
        <v>1er</v>
      </c>
      <c r="K53" s="43"/>
    </row>
    <row r="54" spans="2:11" ht="15.75" thickBot="1">
      <c r="B54" s="85"/>
      <c r="J54" s="99"/>
      <c r="K54" s="99"/>
    </row>
    <row r="55" spans="1:11" ht="15.75" thickTop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3"/>
    </row>
    <row r="56" spans="1:11" ht="15">
      <c r="A56" t="s">
        <v>21</v>
      </c>
      <c r="C56" s="85" t="s">
        <v>15</v>
      </c>
      <c r="E56" s="85" t="s">
        <v>4</v>
      </c>
      <c r="G56" s="47" t="s">
        <v>5</v>
      </c>
      <c r="I56" s="459" t="s">
        <v>43</v>
      </c>
      <c r="J56" s="459"/>
      <c r="K56" s="43"/>
    </row>
    <row r="57" spans="1:11" ht="15.75">
      <c r="A57" s="86">
        <v>5</v>
      </c>
      <c r="C57" s="87" t="str">
        <f>VLOOKUP($A57,init1,2,FALSE)</f>
        <v>TORTAJADA</v>
      </c>
      <c r="D57" s="87"/>
      <c r="E57" s="87">
        <f>VLOOKUP($A57,init1,3,FALSE)</f>
        <v>0</v>
      </c>
      <c r="F57" s="87"/>
      <c r="G57" s="88">
        <f>VLOOKUP($A57,init1,4,FALSE)</f>
        <v>0</v>
      </c>
      <c r="H57" s="87"/>
      <c r="I57" s="460">
        <f>VLOOKUP($A57,init1,5,FALSE)</f>
        <v>0</v>
      </c>
      <c r="J57" s="460"/>
      <c r="K57" s="43"/>
    </row>
    <row r="58" ht="15.75" thickBot="1">
      <c r="K58" s="43"/>
    </row>
    <row r="59" spans="3:11" ht="15.75" thickBot="1">
      <c r="C59" s="109" t="s">
        <v>44</v>
      </c>
      <c r="D59" s="110" t="s">
        <v>45</v>
      </c>
      <c r="E59" s="111" t="s">
        <v>8</v>
      </c>
      <c r="F59" s="111" t="s">
        <v>12</v>
      </c>
      <c r="G59" s="111" t="s">
        <v>13</v>
      </c>
      <c r="H59" s="111" t="s">
        <v>14</v>
      </c>
      <c r="I59" s="111" t="s">
        <v>9</v>
      </c>
      <c r="J59" s="112" t="s">
        <v>46</v>
      </c>
      <c r="K59" s="43"/>
    </row>
    <row r="60" spans="1:11" ht="15">
      <c r="A60" t="str">
        <f>A$57&amp;1</f>
        <v>51</v>
      </c>
      <c r="C60" s="89">
        <f>VLOOKUP($A60,trifin1,3,FALSE)</f>
        <v>2</v>
      </c>
      <c r="D60" s="113" t="str">
        <f>VLOOKUP($A60,trifin1,9,FALSE)</f>
        <v>KANT</v>
      </c>
      <c r="E60" s="90">
        <f>VLOOKUP($A60,trifin1,5,FALSE)</f>
      </c>
      <c r="F60" s="90">
        <f>VLOOKUP($A60,trifin1,6,FALSE)</f>
      </c>
      <c r="G60" s="347">
        <f>IF(F60="","",E60/F60)</f>
      </c>
      <c r="H60" s="348" t="str">
        <f>IF(E60=DISTANCE,G60,"-")</f>
        <v>-</v>
      </c>
      <c r="I60" s="90">
        <f>VLOOKUP($A60,trifin1,7,FALSE)</f>
      </c>
      <c r="J60" s="91">
        <f>VLOOKUP($A60,trifin1,8,FALSE)</f>
      </c>
      <c r="K60" s="43"/>
    </row>
    <row r="61" spans="1:11" ht="15">
      <c r="A61" t="str">
        <f>A$57&amp;2</f>
        <v>52</v>
      </c>
      <c r="C61" s="92">
        <f>VLOOKUP($A61,trifin1,3,FALSE)</f>
        <v>3</v>
      </c>
      <c r="D61" s="106" t="str">
        <f>VLOOKUP($A61,trifin1,9,FALSE)</f>
        <v>SOCRATE</v>
      </c>
      <c r="E61" s="93">
        <f>VLOOKUP($A61,trifin1,5,FALSE)</f>
      </c>
      <c r="F61" s="93">
        <f>VLOOKUP($A61,trifin1,6,FALSE)</f>
      </c>
      <c r="G61" s="349">
        <f>IF(F61="","",E61/F61)</f>
      </c>
      <c r="H61" s="349" t="str">
        <f>IF(E61=DISTANCE,G61,"-")</f>
        <v>-</v>
      </c>
      <c r="I61" s="93">
        <f>VLOOKUP($A61,trifin1,7,FALSE)</f>
      </c>
      <c r="J61" s="94">
        <f>VLOOKUP($A61,trifin1,8,FALSE)</f>
      </c>
      <c r="K61" s="385"/>
    </row>
    <row r="62" spans="1:11" ht="15">
      <c r="A62" t="str">
        <f>A$57&amp;3</f>
        <v>53</v>
      </c>
      <c r="C62" s="92">
        <f>VLOOKUP($A62,trifin1,3,FALSE)</f>
        <v>5</v>
      </c>
      <c r="D62" s="106" t="str">
        <f>VLOOKUP($A62,trifin1,9,FALSE)</f>
        <v>NIETZCHE</v>
      </c>
      <c r="E62" s="93">
        <f>VLOOKUP($A62,trifin1,5,FALSE)</f>
      </c>
      <c r="F62" s="93">
        <f>VLOOKUP($A62,trifin1,6,FALSE)</f>
      </c>
      <c r="G62" s="349">
        <f>IF(F62="","",E62/F62)</f>
      </c>
      <c r="H62" s="349" t="str">
        <f>IF(E62=DISTANCE,G62,"-")</f>
        <v>-</v>
      </c>
      <c r="I62" s="93">
        <f>VLOOKUP($A62,trifin1,7,FALSE)</f>
      </c>
      <c r="J62" s="94">
        <f>VLOOKUP($A62,trifin1,8,FALSE)</f>
      </c>
      <c r="K62" s="386"/>
    </row>
    <row r="63" spans="1:11" ht="15.75" thickBot="1">
      <c r="A63" t="str">
        <f>A$57&amp;4</f>
        <v>54</v>
      </c>
      <c r="C63" s="105">
        <f>VLOOKUP($A63,trifin1,3,FALSE)</f>
        <v>10</v>
      </c>
      <c r="D63" s="107" t="str">
        <f>VLOOKUP($A63,trifin1,9,FALSE)</f>
        <v>DEBORD</v>
      </c>
      <c r="E63" s="95">
        <f>VLOOKUP($A63,trifin1,5,FALSE)</f>
      </c>
      <c r="F63" s="95">
        <f>VLOOKUP($A63,trifin1,6,FALSE)</f>
      </c>
      <c r="G63" s="350">
        <f>IF(F63="","",E63/F63)</f>
      </c>
      <c r="H63" s="350" t="str">
        <f>IF(E63=DISTANCE,G63,"-")</f>
        <v>-</v>
      </c>
      <c r="I63" s="95">
        <f>VLOOKUP($A63,trifin1,7,FALSE)</f>
      </c>
      <c r="J63" s="96">
        <f>VLOOKUP($A63,trifin1,8,FALSE)</f>
      </c>
      <c r="K63" s="386"/>
    </row>
    <row r="64" spans="3:11" ht="15.75" thickBot="1">
      <c r="C64" s="101"/>
      <c r="D64" s="108" t="s">
        <v>47</v>
      </c>
      <c r="E64" s="102">
        <f>SUM(E60:E63)</f>
        <v>0</v>
      </c>
      <c r="F64" s="102">
        <f>SUM(F60:F63)</f>
        <v>0</v>
      </c>
      <c r="G64" s="351">
        <f>IF(F64=0,"",E64/F64)</f>
      </c>
      <c r="H64" s="351">
        <f>MAX(H60:H63)</f>
        <v>0</v>
      </c>
      <c r="I64" s="103">
        <f>MAX(I60:I63)</f>
        <v>0</v>
      </c>
      <c r="J64" s="104">
        <f>SUM(J60:J63)</f>
        <v>0</v>
      </c>
      <c r="K64" s="386"/>
    </row>
    <row r="65" spans="3:11" ht="15.75">
      <c r="C65" s="458" t="s">
        <v>48</v>
      </c>
      <c r="D65" s="458"/>
      <c r="E65" s="458"/>
      <c r="F65" s="86" t="str">
        <f>VLOOKUP($C57,clasfin,9,FALSE)</f>
        <v>4ème</v>
      </c>
      <c r="K65" s="43"/>
    </row>
    <row r="66" spans="10:11" ht="15">
      <c r="J66" s="43"/>
      <c r="K66" s="43"/>
    </row>
    <row r="67" spans="10:11" ht="15">
      <c r="J67" s="43"/>
      <c r="K67" s="43"/>
    </row>
  </sheetData>
  <sheetProtection sheet="1" objects="1" scenarios="1"/>
  <mergeCells count="16">
    <mergeCell ref="I20:J20"/>
    <mergeCell ref="I21:J21"/>
    <mergeCell ref="C29:E29"/>
    <mergeCell ref="I32:J32"/>
    <mergeCell ref="B1:K1"/>
    <mergeCell ref="I8:J8"/>
    <mergeCell ref="I9:J9"/>
    <mergeCell ref="C17:E17"/>
    <mergeCell ref="C53:E53"/>
    <mergeCell ref="I56:J56"/>
    <mergeCell ref="I57:J57"/>
    <mergeCell ref="C65:E65"/>
    <mergeCell ref="I33:J33"/>
    <mergeCell ref="C41:E41"/>
    <mergeCell ref="I44:J44"/>
    <mergeCell ref="I45:J45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poule 5</dc:title>
  <dc:subject/>
  <dc:creator>JaGong</dc:creator>
  <cp:keywords>toto</cp:keywords>
  <dc:description/>
  <cp:lastModifiedBy>François</cp:lastModifiedBy>
  <cp:lastPrinted>2007-12-10T09:38:59Z</cp:lastPrinted>
  <dcterms:created xsi:type="dcterms:W3CDTF">2000-06-11T09:10:57Z</dcterms:created>
  <dcterms:modified xsi:type="dcterms:W3CDTF">2010-10-13T21:38:33Z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fert" linkTarget="transfert">
    <vt:lpwstr>-</vt:lpwstr>
  </property>
</Properties>
</file>