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tabRatio="638" activeTab="0"/>
  </bookViews>
  <sheets>
    <sheet name="LISTE" sheetId="1" r:id="rId1"/>
    <sheet name="MATCHES" sheetId="2" r:id="rId2"/>
    <sheet name="FEUILLE POULE" sheetId="3" r:id="rId3"/>
    <sheet name="JOUEURS" sheetId="4" r:id="rId4"/>
    <sheet name="toutes" sheetId="5" r:id="rId5"/>
    <sheet name="engagement" sheetId="6" r:id="rId6"/>
  </sheets>
  <definedNames>
    <definedName name="bill">'LISTE'!$C$4</definedName>
    <definedName name="cin">'JOUEURS'!$D$113:$M$118</definedName>
    <definedName name="clas">'FEUILLE POULE'!$W$30:$AD$36</definedName>
    <definedName name="clasfin2">'FEUILLE POULE'!$W$30:$AE$36</definedName>
    <definedName name="classement">#REF!</definedName>
    <definedName name="classf">'FEUILLE POULE'!$V$30:$AD$36</definedName>
    <definedName name="dat">'LISTE'!$C$9</definedName>
    <definedName name="design1">'LISTE'!$C$3</definedName>
    <definedName name="design2">'LISTE'!$C$7</definedName>
    <definedName name="deu">'JOUEURS'!$D$37:$M$42</definedName>
    <definedName name="dirjeu">'LISTE'!$C$10</definedName>
    <definedName name="DISTANCE">'LISTE'!$C$5:$C$5</definedName>
    <definedName name="engagement">'engagement'!$A$1:$W$63</definedName>
    <definedName name="impunefeuille">'toutes'!$B$1:$L$76</definedName>
    <definedName name="init">'LISTE'!$B$13:$F$18</definedName>
    <definedName name="init1">'LISTE'!$A$13:$E$18</definedName>
    <definedName name="init6">'LISTE'!$B$13:$G$18</definedName>
    <definedName name="jou1">'JOUEURS'!$B$1:$L$22</definedName>
    <definedName name="jou2">'JOUEURS'!$B$25:$L$46</definedName>
    <definedName name="jou3">'JOUEURS'!$B$51:$L$72</definedName>
    <definedName name="jou4">'JOUEURS'!$B$75:$L$96</definedName>
    <definedName name="jou5">'JOUEURS'!$B$101:$L$122</definedName>
    <definedName name="jou6">'JOUEURS'!$B$125:$L$146</definedName>
    <definedName name="Matches">'MATCHES'!$A$8:$U$63</definedName>
    <definedName name="modjeu">'LISTE'!$C$6</definedName>
    <definedName name="origine">'LISTE'!$A$13:$F$18</definedName>
    <definedName name="poul">'LISTE'!$C$8</definedName>
    <definedName name="Poule">'FEUILLE POULE'!$B$1:$T$36</definedName>
    <definedName name="qua">'JOUEURS'!$D$87:$M$92</definedName>
    <definedName name="six">'JOUEURS'!$D$137:$M$142</definedName>
    <definedName name="test">'LISTE'!$A$20</definedName>
    <definedName name="titre">'LISTE'!$C$2</definedName>
    <definedName name="tours">'MATCHES'!$A$8:$AF$42</definedName>
    <definedName name="TRI">'MATCHES'!$AQ$10:$AY$40</definedName>
    <definedName name="trifin1">'MATCHES'!$AP$11:$AY$40</definedName>
    <definedName name="tro">'JOUEURS'!$D$63:$M$68</definedName>
    <definedName name="un">'JOUEURS'!$D$13:$M$18</definedName>
    <definedName name="_xlnm.Print_Area" localSheetId="5">'engagement'!$A$1:$W$104</definedName>
    <definedName name="_xlnm.Print_Area" localSheetId="2">'FEUILLE POULE'!$B$1:$T$36</definedName>
    <definedName name="_xlnm.Print_Area" localSheetId="3">'JOUEURS'!$B$101:$L$122</definedName>
    <definedName name="_xlnm.Print_Area" localSheetId="1">'MATCHES'!$A$8:$AF$42</definedName>
    <definedName name="_xlnm.Print_Area" localSheetId="4">'toutes'!$B$1:$L$76</definedName>
  </definedNames>
  <calcPr fullCalcOnLoad="1"/>
</workbook>
</file>

<file path=xl/sharedStrings.xml><?xml version="1.0" encoding="utf-8"?>
<sst xmlns="http://schemas.openxmlformats.org/spreadsheetml/2006/main" count="577" uniqueCount="168">
  <si>
    <t>NOM</t>
  </si>
  <si>
    <t>Prénom</t>
  </si>
  <si>
    <t>Club</t>
  </si>
  <si>
    <t>N° licence</t>
  </si>
  <si>
    <t>moyenne</t>
  </si>
  <si>
    <t>points</t>
  </si>
  <si>
    <t>série</t>
  </si>
  <si>
    <t>Point-class</t>
  </si>
  <si>
    <t>REPRISES</t>
  </si>
  <si>
    <t>reprises</t>
  </si>
  <si>
    <t>moy</t>
  </si>
  <si>
    <t>moy part</t>
  </si>
  <si>
    <t>Nom</t>
  </si>
  <si>
    <t>Licence</t>
  </si>
  <si>
    <t>Mode de jeu:</t>
  </si>
  <si>
    <t>Catégorie:</t>
  </si>
  <si>
    <t>Billards:</t>
  </si>
  <si>
    <t>Distance:</t>
  </si>
  <si>
    <t>N°</t>
  </si>
  <si>
    <t>Total</t>
  </si>
  <si>
    <t xml:space="preserve">     moyenne</t>
  </si>
  <si>
    <t xml:space="preserve">    moyenne</t>
  </si>
  <si>
    <t>meilleure</t>
  </si>
  <si>
    <t>POINTS</t>
  </si>
  <si>
    <t>PLACE</t>
  </si>
  <si>
    <t xml:space="preserve">     générale</t>
  </si>
  <si>
    <t xml:space="preserve">   particulière</t>
  </si>
  <si>
    <t>CLASS</t>
  </si>
  <si>
    <t>1er</t>
  </si>
  <si>
    <t>2ème</t>
  </si>
  <si>
    <t>3ème</t>
  </si>
  <si>
    <t>4ème</t>
  </si>
  <si>
    <t>ENTRER LES NOMS DES JOUEURS et LES CARACTERISTIQUES DU CHAMPIONNAT DANS LES CASES BLEUES</t>
  </si>
  <si>
    <t>5ème</t>
  </si>
  <si>
    <t>6ème</t>
  </si>
  <si>
    <t>1er TOUR:</t>
  </si>
  <si>
    <t>billard n°B</t>
  </si>
  <si>
    <t>match 2/3</t>
  </si>
  <si>
    <t>match 1/5</t>
  </si>
  <si>
    <t>match 1/4</t>
  </si>
  <si>
    <t>match 3/6</t>
  </si>
  <si>
    <t>match 2/4</t>
  </si>
  <si>
    <t>match 3/5</t>
  </si>
  <si>
    <t>match 1/6</t>
  </si>
  <si>
    <t>match 2/5</t>
  </si>
  <si>
    <t>Epreuve:</t>
  </si>
  <si>
    <t>Poule:</t>
  </si>
  <si>
    <t>5 ème TOUR:</t>
  </si>
  <si>
    <t>4 ème TOUR:</t>
  </si>
  <si>
    <t>3 ème TOUR:</t>
  </si>
  <si>
    <t>2 ème TOUR:</t>
  </si>
  <si>
    <t>billard n°A</t>
  </si>
  <si>
    <t>match</t>
  </si>
  <si>
    <t>nom</t>
  </si>
  <si>
    <t>rep</t>
  </si>
  <si>
    <t>p.class</t>
  </si>
  <si>
    <t>adversaires</t>
  </si>
  <si>
    <t>J</t>
  </si>
  <si>
    <t>RESULTATS</t>
  </si>
  <si>
    <t>FEUILLE INDIVIDUELLE DE RESULTATS</t>
  </si>
  <si>
    <t>SUR</t>
  </si>
  <si>
    <t>EN</t>
  </si>
  <si>
    <t>JOUEUR N°:</t>
  </si>
  <si>
    <t>Licence N°</t>
  </si>
  <si>
    <t>M.N°</t>
  </si>
  <si>
    <t>Adversaires</t>
  </si>
  <si>
    <t>p.class.</t>
  </si>
  <si>
    <t>glissante</t>
  </si>
  <si>
    <t>totaux</t>
  </si>
  <si>
    <t>CLASSEMENT FINAL:</t>
  </si>
  <si>
    <t>génerale</t>
  </si>
  <si>
    <t>IMPRIMER LES FICHES INDIVIDUELLES DE RESULTATS</t>
  </si>
  <si>
    <t>GONG</t>
  </si>
  <si>
    <t>(même l'intermédiaire)</t>
  </si>
  <si>
    <t>TRI6:chronologique et par joueur</t>
  </si>
  <si>
    <t>Si il y a 2 joueurs d'un même club</t>
  </si>
  <si>
    <t>Si il y en a 3 ou plus : ne rien changer.</t>
  </si>
  <si>
    <t>FEUILLES INDIVIDUELLES DE RESULTATS</t>
  </si>
  <si>
    <t>billard n°C</t>
  </si>
  <si>
    <t>match 4/6</t>
  </si>
  <si>
    <t>pour les faire jouer au premier tour.</t>
  </si>
  <si>
    <t>NON</t>
  </si>
  <si>
    <t xml:space="preserve">POULE  DE  6  SUR  3  BILLARDS </t>
  </si>
  <si>
    <t>NOMBRE DE DECIMALES</t>
  </si>
  <si>
    <t>FEDERATION  FRANCAISE  DE  BILLARD</t>
  </si>
  <si>
    <t xml:space="preserve">-  LIGUE  MIDI PYRENEES  - </t>
  </si>
  <si>
    <t>FEUILLE  D'ENGAGEMENT  A  LA  FINALE  DE</t>
  </si>
  <si>
    <t>District</t>
  </si>
  <si>
    <t>Ligue</t>
  </si>
  <si>
    <t>Secteur</t>
  </si>
  <si>
    <t>France</t>
  </si>
  <si>
    <t>Qui aura lieu:</t>
  </si>
  <si>
    <t>Date</t>
  </si>
  <si>
    <t>Club Organisateur</t>
  </si>
  <si>
    <t>Mode de jeu</t>
  </si>
  <si>
    <t>Catégorie</t>
  </si>
  <si>
    <t>Distance</t>
  </si>
  <si>
    <t xml:space="preserve">VAINQUEUR de la FINALE de </t>
  </si>
  <si>
    <t>S/District</t>
  </si>
  <si>
    <t>NOM  -  Prénom</t>
  </si>
  <si>
    <t>Adresse</t>
  </si>
  <si>
    <t>Tél:</t>
  </si>
  <si>
    <t>Code Postal  -  Ville</t>
  </si>
  <si>
    <t>Club :</t>
  </si>
  <si>
    <t>N° Licence :</t>
  </si>
  <si>
    <t>Moyenne Générale :</t>
  </si>
  <si>
    <t>REMPLACANT EVENTUEL</t>
  </si>
  <si>
    <t>Signatures</t>
  </si>
  <si>
    <t>Vainqueur</t>
  </si>
  <si>
    <t>Remplaçant</t>
  </si>
  <si>
    <t>Fait à :</t>
  </si>
  <si>
    <t>Le:</t>
  </si>
  <si>
    <t>Nom et signature du directeur de jeu</t>
  </si>
  <si>
    <t>C.E.B</t>
  </si>
  <si>
    <t>C.N.O.S.F</t>
  </si>
  <si>
    <t>U.M.B</t>
  </si>
  <si>
    <t>-   LIGUE  MIDI - PYRENEES   -</t>
  </si>
  <si>
    <t>CHAMPIONNATS INDIVIDUELS</t>
  </si>
  <si>
    <t>Feuille de transmission des résultats techniques</t>
  </si>
  <si>
    <t>SECRETARIAT SPORTIF :                    LIGUE  MIDI - PYRENEES</t>
  </si>
  <si>
    <t>SECTEUR   SUD - OUEST</t>
  </si>
  <si>
    <t>Mode  de  jeu</t>
  </si>
  <si>
    <t>Lieu  de  l'épreuve</t>
  </si>
  <si>
    <t>Class.</t>
  </si>
  <si>
    <t>NOM - PRENOM</t>
  </si>
  <si>
    <t>Points</t>
  </si>
  <si>
    <t>N° LICENCE</t>
  </si>
  <si>
    <t>de</t>
  </si>
  <si>
    <t>Reprises</t>
  </si>
  <si>
    <t>M.G</t>
  </si>
  <si>
    <t>M.P</t>
  </si>
  <si>
    <t>Série</t>
  </si>
  <si>
    <t>class.</t>
  </si>
  <si>
    <t>Observation:</t>
  </si>
  <si>
    <t>Nom et prénom du responsable de l'épreuve :</t>
  </si>
  <si>
    <t>Signature du responsable</t>
  </si>
  <si>
    <r>
      <t xml:space="preserve">Qualité : </t>
    </r>
    <r>
      <rPr>
        <b/>
        <sz val="20"/>
        <rFont val="Arial"/>
        <family val="2"/>
      </rPr>
      <t>Secrétaire sportif de la Ligue Midi-Pyrénées</t>
    </r>
  </si>
  <si>
    <t>CLUB.……………</t>
  </si>
  <si>
    <t>CATEGORIE……</t>
  </si>
  <si>
    <t>BILLARD………..</t>
  </si>
  <si>
    <t>DISTANCE………</t>
  </si>
  <si>
    <t>MODE DE JEU…</t>
  </si>
  <si>
    <t>EPREUVE………</t>
  </si>
  <si>
    <t>POULE…………..</t>
  </si>
  <si>
    <t>DATE……………</t>
  </si>
  <si>
    <t>District ou</t>
  </si>
  <si>
    <t>1/2 Ligue</t>
  </si>
  <si>
    <t>a envoyer à :</t>
  </si>
  <si>
    <r>
      <t xml:space="preserve">et les passer N° </t>
    </r>
    <r>
      <rPr>
        <b/>
        <sz val="12"/>
        <color indexed="8"/>
        <rFont val="Arial"/>
        <family val="2"/>
      </rPr>
      <t>1&amp;6</t>
    </r>
    <r>
      <rPr>
        <b/>
        <sz val="12"/>
        <color indexed="10"/>
        <rFont val="Arial"/>
        <family val="2"/>
      </rPr>
      <t xml:space="preserve"> ou N° </t>
    </r>
    <r>
      <rPr>
        <b/>
        <sz val="12"/>
        <color indexed="8"/>
        <rFont val="Arial"/>
        <family val="2"/>
      </rPr>
      <t>2&amp;4</t>
    </r>
    <r>
      <rPr>
        <b/>
        <sz val="12"/>
        <color indexed="10"/>
        <rFont val="Arial"/>
        <family val="2"/>
      </rPr>
      <t xml:space="preserve"> ou N° </t>
    </r>
    <r>
      <rPr>
        <b/>
        <sz val="12"/>
        <color indexed="8"/>
        <rFont val="Arial"/>
        <family val="2"/>
      </rPr>
      <t>3&amp;5</t>
    </r>
  </si>
  <si>
    <r>
      <t xml:space="preserve">il faut changer leur </t>
    </r>
    <r>
      <rPr>
        <b/>
        <sz val="12"/>
        <rFont val="Arial"/>
        <family val="2"/>
      </rPr>
      <t>Numéro de départ</t>
    </r>
  </si>
  <si>
    <t>VOUS POUVEZ INVERSER LES DEUX TOURS QUI SUIVENT AFIN DE PRESERVER UNE FINALE : VOULEZ-VOUS INVERSER ?</t>
  </si>
  <si>
    <t>Directeur de jeu :</t>
  </si>
  <si>
    <t>date :</t>
  </si>
  <si>
    <t>observations :</t>
  </si>
  <si>
    <t>Numéro de départ</t>
  </si>
  <si>
    <t>juan.giron1@free.fr</t>
  </si>
  <si>
    <t>ainsi que vos remarques, merci.</t>
  </si>
  <si>
    <r>
      <t xml:space="preserve">Envoyez le fichier complet ( </t>
    </r>
    <r>
      <rPr>
        <b/>
        <u val="single"/>
        <sz val="12"/>
        <rFont val="Arial"/>
        <family val="2"/>
      </rPr>
      <t xml:space="preserve">après enregistrement </t>
    </r>
    <r>
      <rPr>
        <b/>
        <sz val="12"/>
        <rFont val="Arial"/>
        <family val="2"/>
      </rPr>
      <t>) à :</t>
    </r>
  </si>
  <si>
    <t>Directeur de jeu..</t>
  </si>
  <si>
    <t>Moyenne générale</t>
  </si>
  <si>
    <t>du championnat :</t>
  </si>
  <si>
    <t>e-mail :</t>
  </si>
  <si>
    <t>Toulouse le 26 Mars 2006</t>
  </si>
  <si>
    <t>2m80</t>
  </si>
  <si>
    <t>SOUS-DISTRICT</t>
  </si>
  <si>
    <t>UNIQUE</t>
  </si>
  <si>
    <t>3 BANDES</t>
  </si>
  <si>
    <t>REGIONALE 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</si>
</sst>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.000"/>
    <numFmt numFmtId="174" formatCode="\(General\);\(\-General\)"/>
    <numFmt numFmtId="175" formatCode="\(0.000\);\(\-0.000\)"/>
    <numFmt numFmtId="176" formatCode="0.0000"/>
    <numFmt numFmtId="177" formatCode="0.0"/>
    <numFmt numFmtId="178" formatCode="\(0.00\);\(\-0.00\)"/>
    <numFmt numFmtId="179" formatCode="d\ mmmm\ yyyy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9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b/>
      <sz val="32"/>
      <name val="Arial"/>
      <family val="0"/>
    </font>
    <font>
      <b/>
      <sz val="24"/>
      <name val="Arial"/>
      <family val="0"/>
    </font>
    <font>
      <u val="single"/>
      <sz val="14"/>
      <name val="Arial"/>
      <family val="0"/>
    </font>
    <font>
      <u val="single"/>
      <sz val="12"/>
      <name val="Arial"/>
      <family val="0"/>
    </font>
    <font>
      <b/>
      <sz val="14"/>
      <name val="Arial"/>
      <family val="0"/>
    </font>
    <font>
      <sz val="6"/>
      <name val="Arial"/>
      <family val="0"/>
    </font>
    <font>
      <b/>
      <sz val="14"/>
      <color indexed="10"/>
      <name val="Arial"/>
      <family val="0"/>
    </font>
    <font>
      <b/>
      <sz val="12"/>
      <color indexed="10"/>
      <name val="Arial"/>
      <family val="0"/>
    </font>
    <font>
      <b/>
      <sz val="18"/>
      <color indexed="14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Arial"/>
      <family val="2"/>
    </font>
    <font>
      <b/>
      <sz val="22"/>
      <color indexed="12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8"/>
      <color indexed="8"/>
      <name val="Arial"/>
      <family val="2"/>
    </font>
    <font>
      <b/>
      <i/>
      <sz val="2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28"/>
      <name val="Arial"/>
      <family val="2"/>
    </font>
    <font>
      <u val="single"/>
      <sz val="16"/>
      <name val="Arial"/>
      <family val="2"/>
    </font>
    <font>
      <u val="single"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sz val="12"/>
      <color indexed="22"/>
      <name val="Arial"/>
      <family val="2"/>
    </font>
    <font>
      <b/>
      <sz val="10"/>
      <color indexed="13"/>
      <name val="Arial"/>
      <family val="2"/>
    </font>
    <font>
      <sz val="12"/>
      <color indexed="13"/>
      <name val="Arial"/>
      <family val="2"/>
    </font>
    <font>
      <i/>
      <u val="single"/>
      <sz val="10"/>
      <name val="Arial"/>
      <family val="2"/>
    </font>
    <font>
      <b/>
      <sz val="34"/>
      <name val="Arial"/>
      <family val="2"/>
    </font>
    <font>
      <b/>
      <sz val="19"/>
      <color indexed="10"/>
      <name val="Arial"/>
      <family val="2"/>
    </font>
    <font>
      <u val="single"/>
      <sz val="9"/>
      <color indexed="12"/>
      <name val="Arial"/>
      <family val="0"/>
    </font>
    <font>
      <b/>
      <u val="single"/>
      <sz val="18"/>
      <color indexed="12"/>
      <name val="Arial"/>
      <family val="2"/>
    </font>
    <font>
      <u val="single"/>
      <sz val="9"/>
      <color indexed="36"/>
      <name val="Arial"/>
      <family val="0"/>
    </font>
    <font>
      <b/>
      <i/>
      <sz val="48"/>
      <color indexed="17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2"/>
      <name val="Arial"/>
      <family val="2"/>
    </font>
    <font>
      <sz val="8"/>
      <name val="Tahoma"/>
      <family val="2"/>
    </font>
    <font>
      <b/>
      <sz val="16"/>
      <color indexed="9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E13D3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darkVertical"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mediumGray">
        <fgColor indexed="9"/>
        <bgColor indexed="1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21"/>
      </patternFill>
    </fill>
    <fill>
      <patternFill patternType="solid">
        <fgColor indexed="51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0" borderId="2" applyNumberFormat="0" applyFill="0" applyAlignment="0" applyProtection="0"/>
    <xf numFmtId="0" fontId="0" fillId="27" borderId="3" applyNumberFormat="0" applyFont="0" applyAlignment="0" applyProtection="0"/>
    <xf numFmtId="0" fontId="84" fillId="28" borderId="1" applyNumberFormat="0" applyAlignment="0" applyProtection="0"/>
    <xf numFmtId="0" fontId="8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31" borderId="0" applyNumberFormat="0" applyBorder="0" applyAlignment="0" applyProtection="0"/>
    <xf numFmtId="0" fontId="88" fillId="26" borderId="4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2" borderId="9" applyNumberFormat="0" applyAlignment="0" applyProtection="0"/>
  </cellStyleXfs>
  <cellXfs count="6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173" fontId="4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173" fontId="9" fillId="0" borderId="0" xfId="0" applyNumberFormat="1" applyFont="1" applyBorder="1" applyAlignment="1">
      <alignment horizontal="center" vertical="center"/>
    </xf>
    <xf numFmtId="174" fontId="9" fillId="0" borderId="0" xfId="0" applyNumberFormat="1" applyFont="1" applyBorder="1" applyAlignment="1">
      <alignment horizontal="center" vertical="center"/>
    </xf>
    <xf numFmtId="0" fontId="0" fillId="33" borderId="14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0" fontId="0" fillId="35" borderId="14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/>
    </xf>
    <xf numFmtId="0" fontId="0" fillId="36" borderId="14" xfId="0" applyNumberFormat="1" applyFont="1" applyFill="1" applyBorder="1" applyAlignment="1">
      <alignment/>
    </xf>
    <xf numFmtId="0" fontId="0" fillId="36" borderId="15" xfId="0" applyNumberFormat="1" applyFont="1" applyFill="1" applyBorder="1" applyAlignment="1">
      <alignment/>
    </xf>
    <xf numFmtId="0" fontId="0" fillId="36" borderId="16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36" borderId="15" xfId="0" applyNumberForma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12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2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22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/>
    </xf>
    <xf numFmtId="174" fontId="0" fillId="34" borderId="0" xfId="0" applyNumberForma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34" borderId="23" xfId="0" applyFill="1" applyBorder="1" applyAlignment="1">
      <alignment/>
    </xf>
    <xf numFmtId="0" fontId="5" fillId="34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8" xfId="0" applyBorder="1" applyAlignment="1">
      <alignment/>
    </xf>
    <xf numFmtId="0" fontId="0" fillId="37" borderId="0" xfId="0" applyFill="1" applyAlignment="1">
      <alignment/>
    </xf>
    <xf numFmtId="0" fontId="0" fillId="37" borderId="29" xfId="0" applyNumberFormat="1" applyFont="1" applyFill="1" applyBorder="1" applyAlignment="1">
      <alignment/>
    </xf>
    <xf numFmtId="0" fontId="4" fillId="37" borderId="30" xfId="0" applyNumberFormat="1" applyFont="1" applyFill="1" applyBorder="1" applyAlignment="1">
      <alignment horizontal="center"/>
    </xf>
    <xf numFmtId="0" fontId="4" fillId="37" borderId="30" xfId="0" applyNumberFormat="1" applyFont="1" applyFill="1" applyBorder="1" applyAlignment="1">
      <alignment horizontal="left"/>
    </xf>
    <xf numFmtId="0" fontId="4" fillId="37" borderId="30" xfId="0" applyNumberFormat="1" applyFont="1" applyFill="1" applyBorder="1" applyAlignment="1">
      <alignment/>
    </xf>
    <xf numFmtId="0" fontId="4" fillId="37" borderId="31" xfId="0" applyNumberFormat="1" applyFont="1" applyFill="1" applyBorder="1" applyAlignment="1">
      <alignment horizontal="center"/>
    </xf>
    <xf numFmtId="0" fontId="0" fillId="37" borderId="32" xfId="0" applyNumberFormat="1" applyFont="1" applyFill="1" applyBorder="1" applyAlignment="1">
      <alignment horizontal="left" vertical="center"/>
    </xf>
    <xf numFmtId="0" fontId="4" fillId="37" borderId="33" xfId="0" applyNumberFormat="1" applyFont="1" applyFill="1" applyBorder="1" applyAlignment="1">
      <alignment horizontal="center" vertical="center"/>
    </xf>
    <xf numFmtId="0" fontId="4" fillId="37" borderId="33" xfId="0" applyNumberFormat="1" applyFont="1" applyFill="1" applyBorder="1" applyAlignment="1">
      <alignment horizontal="left" vertical="center"/>
    </xf>
    <xf numFmtId="0" fontId="0" fillId="37" borderId="34" xfId="0" applyNumberFormat="1" applyFill="1" applyBorder="1" applyAlignment="1">
      <alignment vertical="center"/>
    </xf>
    <xf numFmtId="0" fontId="4" fillId="37" borderId="35" xfId="0" applyNumberFormat="1" applyFont="1" applyFill="1" applyBorder="1" applyAlignment="1">
      <alignment horizontal="center" vertical="center"/>
    </xf>
    <xf numFmtId="0" fontId="17" fillId="37" borderId="36" xfId="0" applyNumberFormat="1" applyFont="1" applyFill="1" applyBorder="1" applyAlignment="1">
      <alignment horizontal="center" vertical="center"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15" fillId="37" borderId="36" xfId="0" applyNumberFormat="1" applyFont="1" applyFill="1" applyBorder="1" applyAlignment="1">
      <alignment horizontal="center" vertical="center"/>
    </xf>
    <xf numFmtId="0" fontId="5" fillId="37" borderId="36" xfId="0" applyNumberFormat="1" applyFont="1" applyFill="1" applyBorder="1" applyAlignment="1">
      <alignment horizontal="center" vertical="center"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5" fillId="37" borderId="36" xfId="0" applyNumberFormat="1" applyFont="1" applyFill="1" applyBorder="1" applyAlignment="1">
      <alignment horizontal="center" vertical="center"/>
    </xf>
    <xf numFmtId="0" fontId="5" fillId="37" borderId="43" xfId="0" applyNumberFormat="1" applyFont="1" applyFill="1" applyBorder="1" applyAlignment="1">
      <alignment horizontal="center" vertical="center"/>
    </xf>
    <xf numFmtId="0" fontId="0" fillId="37" borderId="44" xfId="0" applyFill="1" applyBorder="1" applyAlignment="1">
      <alignment/>
    </xf>
    <xf numFmtId="0" fontId="0" fillId="37" borderId="45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5" fillId="37" borderId="43" xfId="0" applyNumberFormat="1" applyFont="1" applyFill="1" applyBorder="1" applyAlignment="1">
      <alignment horizontal="center" vertical="center"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0" borderId="50" xfId="0" applyNumberFormat="1" applyFont="1" applyBorder="1" applyAlignment="1">
      <alignment vertical="center"/>
    </xf>
    <xf numFmtId="0" fontId="0" fillId="0" borderId="51" xfId="0" applyNumberFormat="1" applyFont="1" applyBorder="1" applyAlignment="1">
      <alignment vertical="center"/>
    </xf>
    <xf numFmtId="0" fontId="4" fillId="0" borderId="51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left" vertical="center"/>
    </xf>
    <xf numFmtId="0" fontId="0" fillId="0" borderId="3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left" vertical="center"/>
    </xf>
    <xf numFmtId="0" fontId="0" fillId="0" borderId="52" xfId="0" applyNumberFormat="1" applyFont="1" applyBorder="1" applyAlignment="1" applyProtection="1">
      <alignment vertical="center"/>
      <protection/>
    </xf>
    <xf numFmtId="0" fontId="0" fillId="0" borderId="53" xfId="0" applyNumberFormat="1" applyFont="1" applyBorder="1" applyAlignment="1" applyProtection="1">
      <alignment vertical="center"/>
      <protection/>
    </xf>
    <xf numFmtId="0" fontId="4" fillId="0" borderId="52" xfId="0" applyNumberFormat="1" applyFont="1" applyBorder="1" applyAlignment="1" applyProtection="1">
      <alignment horizontal="center" vertical="center"/>
      <protection/>
    </xf>
    <xf numFmtId="0" fontId="4" fillId="0" borderId="52" xfId="0" applyNumberFormat="1" applyFont="1" applyBorder="1" applyAlignment="1" applyProtection="1">
      <alignment horizontal="left" vertical="center"/>
      <protection/>
    </xf>
    <xf numFmtId="0" fontId="9" fillId="0" borderId="50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 horizontal="center"/>
    </xf>
    <xf numFmtId="0" fontId="9" fillId="0" borderId="54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vertical="center"/>
    </xf>
    <xf numFmtId="0" fontId="9" fillId="0" borderId="56" xfId="0" applyNumberFormat="1" applyFont="1" applyBorder="1" applyAlignment="1">
      <alignment/>
    </xf>
    <xf numFmtId="0" fontId="9" fillId="0" borderId="5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56" xfId="0" applyNumberFormat="1" applyFont="1" applyBorder="1" applyAlignment="1">
      <alignment horizontal="center"/>
    </xf>
    <xf numFmtId="0" fontId="9" fillId="0" borderId="55" xfId="0" applyNumberFormat="1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0" fontId="0" fillId="34" borderId="68" xfId="0" applyFill="1" applyBorder="1" applyAlignment="1">
      <alignment/>
    </xf>
    <xf numFmtId="0" fontId="15" fillId="34" borderId="0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21" fillId="34" borderId="69" xfId="0" applyNumberFormat="1" applyFont="1" applyFill="1" applyBorder="1" applyAlignment="1">
      <alignment/>
    </xf>
    <xf numFmtId="0" fontId="0" fillId="34" borderId="70" xfId="0" applyFill="1" applyBorder="1" applyAlignment="1">
      <alignment/>
    </xf>
    <xf numFmtId="0" fontId="0" fillId="34" borderId="70" xfId="0" applyNumberFormat="1" applyFont="1" applyFill="1" applyBorder="1" applyAlignment="1">
      <alignment/>
    </xf>
    <xf numFmtId="0" fontId="0" fillId="34" borderId="71" xfId="0" applyFill="1" applyBorder="1" applyAlignment="1">
      <alignment/>
    </xf>
    <xf numFmtId="0" fontId="11" fillId="0" borderId="0" xfId="0" applyNumberFormat="1" applyFont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72" xfId="0" applyNumberFormat="1" applyFont="1" applyBorder="1" applyAlignment="1" applyProtection="1">
      <alignment horizontal="center"/>
      <protection/>
    </xf>
    <xf numFmtId="0" fontId="23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3" fillId="0" borderId="72" xfId="0" applyNumberFormat="1" applyFont="1" applyBorder="1" applyAlignment="1" applyProtection="1">
      <alignment horizontal="center"/>
      <protection/>
    </xf>
    <xf numFmtId="173" fontId="0" fillId="37" borderId="38" xfId="0" applyNumberFormat="1" applyFill="1" applyBorder="1" applyAlignment="1">
      <alignment horizontal="center"/>
    </xf>
    <xf numFmtId="173" fontId="0" fillId="37" borderId="41" xfId="0" applyNumberFormat="1" applyFill="1" applyBorder="1" applyAlignment="1">
      <alignment horizontal="center"/>
    </xf>
    <xf numFmtId="173" fontId="0" fillId="37" borderId="48" xfId="0" applyNumberFormat="1" applyFill="1" applyBorder="1" applyAlignment="1">
      <alignment horizontal="center"/>
    </xf>
    <xf numFmtId="173" fontId="0" fillId="37" borderId="45" xfId="0" applyNumberFormat="1" applyFill="1" applyBorder="1" applyAlignment="1">
      <alignment horizontal="center"/>
    </xf>
    <xf numFmtId="0" fontId="0" fillId="0" borderId="72" xfId="0" applyNumberFormat="1" applyFont="1" applyBorder="1" applyAlignment="1" applyProtection="1">
      <alignment/>
      <protection/>
    </xf>
    <xf numFmtId="0" fontId="0" fillId="38" borderId="73" xfId="0" applyNumberFormat="1" applyFont="1" applyFill="1" applyBorder="1" applyAlignment="1">
      <alignment/>
    </xf>
    <xf numFmtId="0" fontId="0" fillId="38" borderId="74" xfId="0" applyNumberFormat="1" applyFont="1" applyFill="1" applyBorder="1" applyAlignment="1">
      <alignment/>
    </xf>
    <xf numFmtId="0" fontId="0" fillId="38" borderId="74" xfId="0" applyFill="1" applyBorder="1" applyAlignment="1">
      <alignment/>
    </xf>
    <xf numFmtId="0" fontId="0" fillId="38" borderId="75" xfId="0" applyFill="1" applyBorder="1" applyAlignment="1">
      <alignment/>
    </xf>
    <xf numFmtId="0" fontId="0" fillId="38" borderId="69" xfId="0" applyNumberFormat="1" applyFont="1" applyFill="1" applyBorder="1" applyAlignment="1">
      <alignment/>
    </xf>
    <xf numFmtId="0" fontId="0" fillId="38" borderId="70" xfId="0" applyNumberFormat="1" applyFont="1" applyFill="1" applyBorder="1" applyAlignment="1">
      <alignment/>
    </xf>
    <xf numFmtId="0" fontId="0" fillId="38" borderId="70" xfId="0" applyFill="1" applyBorder="1" applyAlignment="1">
      <alignment/>
    </xf>
    <xf numFmtId="0" fontId="0" fillId="38" borderId="71" xfId="0" applyFill="1" applyBorder="1" applyAlignment="1">
      <alignment/>
    </xf>
    <xf numFmtId="0" fontId="21" fillId="34" borderId="68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/>
    </xf>
    <xf numFmtId="0" fontId="0" fillId="39" borderId="73" xfId="0" applyNumberFormat="1" applyFont="1" applyFill="1" applyBorder="1" applyAlignment="1">
      <alignment/>
    </xf>
    <xf numFmtId="0" fontId="0" fillId="39" borderId="74" xfId="0" applyNumberFormat="1" applyFont="1" applyFill="1" applyBorder="1" applyAlignment="1">
      <alignment/>
    </xf>
    <xf numFmtId="0" fontId="0" fillId="39" borderId="74" xfId="0" applyFill="1" applyBorder="1" applyAlignment="1">
      <alignment/>
    </xf>
    <xf numFmtId="0" fontId="0" fillId="39" borderId="75" xfId="0" applyFill="1" applyBorder="1" applyAlignment="1">
      <alignment/>
    </xf>
    <xf numFmtId="0" fontId="0" fillId="39" borderId="69" xfId="0" applyNumberFormat="1" applyFont="1" applyFill="1" applyBorder="1" applyAlignment="1">
      <alignment/>
    </xf>
    <xf numFmtId="0" fontId="0" fillId="39" borderId="70" xfId="0" applyNumberFormat="1" applyFont="1" applyFill="1" applyBorder="1" applyAlignment="1">
      <alignment/>
    </xf>
    <xf numFmtId="0" fontId="21" fillId="39" borderId="70" xfId="0" applyNumberFormat="1" applyFont="1" applyFill="1" applyBorder="1" applyAlignment="1">
      <alignment/>
    </xf>
    <xf numFmtId="0" fontId="0" fillId="39" borderId="70" xfId="0" applyFill="1" applyBorder="1" applyAlignment="1">
      <alignment/>
    </xf>
    <xf numFmtId="0" fontId="0" fillId="39" borderId="71" xfId="0" applyFill="1" applyBorder="1" applyAlignment="1">
      <alignment/>
    </xf>
    <xf numFmtId="0" fontId="9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9" fillId="0" borderId="76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vertical="center"/>
    </xf>
    <xf numFmtId="0" fontId="9" fillId="0" borderId="77" xfId="0" applyNumberFormat="1" applyFont="1" applyBorder="1" applyAlignment="1">
      <alignment horizontal="center"/>
    </xf>
    <xf numFmtId="0" fontId="9" fillId="0" borderId="70" xfId="0" applyNumberFormat="1" applyFont="1" applyBorder="1" applyAlignment="1">
      <alignment/>
    </xf>
    <xf numFmtId="0" fontId="9" fillId="0" borderId="78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37" borderId="41" xfId="0" applyNumberFormat="1" applyFont="1" applyFill="1" applyBorder="1" applyAlignment="1" applyProtection="1">
      <alignment horizontal="left" vertical="center"/>
      <protection locked="0"/>
    </xf>
    <xf numFmtId="0" fontId="0" fillId="37" borderId="48" xfId="0" applyNumberFormat="1" applyFont="1" applyFill="1" applyBorder="1" applyAlignment="1" applyProtection="1">
      <alignment horizontal="left" vertical="center"/>
      <protection locked="0"/>
    </xf>
    <xf numFmtId="0" fontId="0" fillId="37" borderId="41" xfId="0" applyNumberFormat="1" applyFont="1" applyFill="1" applyBorder="1" applyAlignment="1" applyProtection="1">
      <alignment/>
      <protection locked="0"/>
    </xf>
    <xf numFmtId="0" fontId="0" fillId="37" borderId="79" xfId="0" applyNumberFormat="1" applyFont="1" applyFill="1" applyBorder="1" applyAlignment="1" applyProtection="1">
      <alignment horizontal="left" vertical="center"/>
      <protection locked="0"/>
    </xf>
    <xf numFmtId="0" fontId="0" fillId="0" borderId="68" xfId="0" applyNumberFormat="1" applyFont="1" applyBorder="1" applyAlignment="1" applyProtection="1">
      <alignment horizontal="center" vertical="center"/>
      <protection/>
    </xf>
    <xf numFmtId="0" fontId="0" fillId="0" borderId="80" xfId="0" applyNumberFormat="1" applyFont="1" applyBorder="1" applyAlignment="1" applyProtection="1">
      <alignment horizontal="center" vertical="center"/>
      <protection/>
    </xf>
    <xf numFmtId="0" fontId="28" fillId="0" borderId="63" xfId="0" applyNumberFormat="1" applyFont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2" fontId="0" fillId="35" borderId="15" xfId="0" applyNumberFormat="1" applyFont="1" applyFill="1" applyBorder="1" applyAlignment="1">
      <alignment/>
    </xf>
    <xf numFmtId="0" fontId="0" fillId="35" borderId="16" xfId="0" applyNumberFormat="1" applyFont="1" applyFill="1" applyBorder="1" applyAlignment="1">
      <alignment/>
    </xf>
    <xf numFmtId="2" fontId="0" fillId="36" borderId="15" xfId="0" applyNumberFormat="1" applyFont="1" applyFill="1" applyBorder="1" applyAlignment="1">
      <alignment/>
    </xf>
    <xf numFmtId="0" fontId="0" fillId="34" borderId="74" xfId="0" applyFill="1" applyBorder="1" applyAlignment="1">
      <alignment/>
    </xf>
    <xf numFmtId="0" fontId="0" fillId="34" borderId="75" xfId="0" applyFill="1" applyBorder="1" applyAlignment="1">
      <alignment/>
    </xf>
    <xf numFmtId="0" fontId="0" fillId="34" borderId="74" xfId="0" applyNumberFormat="1" applyFont="1" applyFill="1" applyBorder="1" applyAlignment="1">
      <alignment/>
    </xf>
    <xf numFmtId="0" fontId="12" fillId="34" borderId="74" xfId="0" applyNumberFormat="1" applyFont="1" applyFill="1" applyBorder="1" applyAlignment="1">
      <alignment horizontal="center" vertical="center" textRotation="90"/>
    </xf>
    <xf numFmtId="0" fontId="12" fillId="34" borderId="0" xfId="0" applyNumberFormat="1" applyFont="1" applyFill="1" applyBorder="1" applyAlignment="1">
      <alignment horizontal="center" vertical="center" textRotation="90"/>
    </xf>
    <xf numFmtId="0" fontId="12" fillId="34" borderId="70" xfId="0" applyNumberFormat="1" applyFont="1" applyFill="1" applyBorder="1" applyAlignment="1">
      <alignment horizontal="center" vertical="center" textRotation="90"/>
    </xf>
    <xf numFmtId="0" fontId="5" fillId="0" borderId="73" xfId="0" applyFont="1" applyBorder="1" applyAlignment="1">
      <alignment/>
    </xf>
    <xf numFmtId="0" fontId="5" fillId="34" borderId="74" xfId="0" applyFont="1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2" fontId="0" fillId="34" borderId="74" xfId="0" applyNumberFormat="1" applyFill="1" applyBorder="1" applyAlignment="1">
      <alignment/>
    </xf>
    <xf numFmtId="174" fontId="0" fillId="34" borderId="74" xfId="0" applyNumberFormat="1" applyFill="1" applyBorder="1" applyAlignment="1">
      <alignment horizontal="center"/>
    </xf>
    <xf numFmtId="0" fontId="5" fillId="34" borderId="75" xfId="0" applyFont="1" applyFill="1" applyBorder="1" applyAlignment="1">
      <alignment horizontal="center"/>
    </xf>
    <xf numFmtId="0" fontId="5" fillId="0" borderId="68" xfId="0" applyFont="1" applyBorder="1" applyAlignment="1">
      <alignment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/>
    </xf>
    <xf numFmtId="0" fontId="5" fillId="34" borderId="70" xfId="0" applyFont="1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2" fontId="0" fillId="34" borderId="70" xfId="0" applyNumberFormat="1" applyFill="1" applyBorder="1" applyAlignment="1">
      <alignment/>
    </xf>
    <xf numFmtId="174" fontId="0" fillId="34" borderId="70" xfId="0" applyNumberFormat="1" applyFill="1" applyBorder="1" applyAlignment="1">
      <alignment horizontal="center"/>
    </xf>
    <xf numFmtId="0" fontId="5" fillId="34" borderId="71" xfId="0" applyFont="1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2" fillId="0" borderId="5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center"/>
    </xf>
    <xf numFmtId="0" fontId="31" fillId="0" borderId="51" xfId="0" applyNumberFormat="1" applyFont="1" applyBorder="1" applyAlignment="1">
      <alignment horizontal="center" vertical="top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5" fillId="41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81" xfId="0" applyBorder="1" applyAlignment="1">
      <alignment/>
    </xf>
    <xf numFmtId="0" fontId="0" fillId="0" borderId="81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9" fillId="0" borderId="81" xfId="0" applyFont="1" applyBorder="1" applyAlignment="1">
      <alignment/>
    </xf>
    <xf numFmtId="0" fontId="0" fillId="0" borderId="81" xfId="0" applyBorder="1" applyAlignment="1">
      <alignment/>
    </xf>
    <xf numFmtId="0" fontId="42" fillId="0" borderId="0" xfId="0" applyFont="1" applyAlignment="1">
      <alignment/>
    </xf>
    <xf numFmtId="0" fontId="24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63" xfId="0" applyFont="1" applyBorder="1" applyAlignment="1">
      <alignment vertical="center"/>
    </xf>
    <xf numFmtId="0" fontId="0" fillId="0" borderId="83" xfId="0" applyBorder="1" applyAlignment="1">
      <alignment/>
    </xf>
    <xf numFmtId="0" fontId="45" fillId="0" borderId="84" xfId="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4" xfId="0" applyBorder="1" applyAlignment="1">
      <alignment/>
    </xf>
    <xf numFmtId="0" fontId="42" fillId="0" borderId="82" xfId="0" applyFont="1" applyBorder="1" applyAlignment="1">
      <alignment vertical="center"/>
    </xf>
    <xf numFmtId="0" fontId="45" fillId="0" borderId="83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0" fillId="0" borderId="93" xfId="0" applyBorder="1" applyAlignment="1">
      <alignment/>
    </xf>
    <xf numFmtId="0" fontId="0" fillId="0" borderId="74" xfId="0" applyBorder="1" applyAlignment="1">
      <alignment/>
    </xf>
    <xf numFmtId="0" fontId="0" fillId="0" borderId="94" xfId="0" applyBorder="1" applyAlignment="1">
      <alignment/>
    </xf>
    <xf numFmtId="0" fontId="15" fillId="0" borderId="91" xfId="0" applyFont="1" applyBorder="1" applyAlignment="1">
      <alignment horizontal="center" vertical="center"/>
    </xf>
    <xf numFmtId="0" fontId="0" fillId="0" borderId="95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92" xfId="0" applyBorder="1" applyAlignment="1">
      <alignment/>
    </xf>
    <xf numFmtId="0" fontId="24" fillId="0" borderId="96" xfId="0" applyFont="1" applyBorder="1" applyAlignment="1">
      <alignment horizontal="center" vertical="center"/>
    </xf>
    <xf numFmtId="0" fontId="26" fillId="0" borderId="97" xfId="0" applyFont="1" applyBorder="1" applyAlignment="1">
      <alignment horizontal="left" vertical="center" indent="1"/>
    </xf>
    <xf numFmtId="0" fontId="26" fillId="0" borderId="98" xfId="0" applyFont="1" applyBorder="1" applyAlignment="1">
      <alignment vertical="center"/>
    </xf>
    <xf numFmtId="0" fontId="22" fillId="0" borderId="98" xfId="0" applyFont="1" applyBorder="1" applyAlignment="1">
      <alignment vertical="center"/>
    </xf>
    <xf numFmtId="0" fontId="26" fillId="0" borderId="98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46" fillId="0" borderId="85" xfId="0" applyFont="1" applyBorder="1" applyAlignment="1">
      <alignment/>
    </xf>
    <xf numFmtId="0" fontId="0" fillId="0" borderId="86" xfId="0" applyBorder="1" applyAlignment="1">
      <alignment/>
    </xf>
    <xf numFmtId="0" fontId="42" fillId="0" borderId="90" xfId="0" applyFont="1" applyBorder="1" applyAlignment="1">
      <alignment/>
    </xf>
    <xf numFmtId="0" fontId="42" fillId="0" borderId="91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92" xfId="0" applyFont="1" applyBorder="1" applyAlignment="1">
      <alignment/>
    </xf>
    <xf numFmtId="0" fontId="24" fillId="0" borderId="0" xfId="0" applyFont="1" applyBorder="1" applyAlignment="1">
      <alignment/>
    </xf>
    <xf numFmtId="0" fontId="42" fillId="0" borderId="87" xfId="0" applyFont="1" applyBorder="1" applyAlignment="1">
      <alignment/>
    </xf>
    <xf numFmtId="0" fontId="42" fillId="0" borderId="88" xfId="0" applyFont="1" applyBorder="1" applyAlignment="1">
      <alignment/>
    </xf>
    <xf numFmtId="0" fontId="47" fillId="0" borderId="0" xfId="0" applyFont="1" applyAlignment="1">
      <alignment/>
    </xf>
    <xf numFmtId="0" fontId="4" fillId="0" borderId="68" xfId="0" applyNumberFormat="1" applyFont="1" applyBorder="1" applyAlignment="1">
      <alignment horizontal="center"/>
    </xf>
    <xf numFmtId="0" fontId="0" fillId="34" borderId="100" xfId="0" applyNumberFormat="1" applyFont="1" applyFill="1" applyBorder="1" applyAlignment="1">
      <alignment/>
    </xf>
    <xf numFmtId="0" fontId="0" fillId="34" borderId="101" xfId="0" applyNumberFormat="1" applyFill="1" applyBorder="1" applyAlignment="1">
      <alignment horizontal="center" vertical="center"/>
    </xf>
    <xf numFmtId="0" fontId="0" fillId="34" borderId="101" xfId="0" applyNumberFormat="1" applyFont="1" applyFill="1" applyBorder="1" applyAlignment="1">
      <alignment/>
    </xf>
    <xf numFmtId="2" fontId="0" fillId="34" borderId="101" xfId="0" applyNumberFormat="1" applyFont="1" applyFill="1" applyBorder="1" applyAlignment="1">
      <alignment/>
    </xf>
    <xf numFmtId="0" fontId="0" fillId="39" borderId="14" xfId="0" applyNumberFormat="1" applyFont="1" applyFill="1" applyBorder="1" applyAlignment="1">
      <alignment/>
    </xf>
    <xf numFmtId="0" fontId="0" fillId="39" borderId="15" xfId="0" applyNumberFormat="1" applyFill="1" applyBorder="1" applyAlignment="1">
      <alignment horizontal="center" vertical="center"/>
    </xf>
    <xf numFmtId="0" fontId="0" fillId="39" borderId="15" xfId="0" applyNumberFormat="1" applyFont="1" applyFill="1" applyBorder="1" applyAlignment="1">
      <alignment/>
    </xf>
    <xf numFmtId="2" fontId="0" fillId="39" borderId="15" xfId="0" applyNumberFormat="1" applyFont="1" applyFill="1" applyBorder="1" applyAlignment="1">
      <alignment/>
    </xf>
    <xf numFmtId="0" fontId="0" fillId="39" borderId="16" xfId="0" applyNumberFormat="1" applyFont="1" applyFill="1" applyBorder="1" applyAlignment="1">
      <alignment/>
    </xf>
    <xf numFmtId="0" fontId="0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0" fontId="0" fillId="42" borderId="0" xfId="0" applyNumberFormat="1" applyFont="1" applyFill="1" applyBorder="1" applyAlignment="1">
      <alignment/>
    </xf>
    <xf numFmtId="0" fontId="0" fillId="37" borderId="82" xfId="0" applyNumberFormat="1" applyFont="1" applyFill="1" applyBorder="1" applyAlignment="1" applyProtection="1">
      <alignment horizontal="left"/>
      <protection locked="0"/>
    </xf>
    <xf numFmtId="3" fontId="0" fillId="37" borderId="82" xfId="0" applyNumberFormat="1" applyFont="1" applyFill="1" applyBorder="1" applyAlignment="1" applyProtection="1">
      <alignment horizontal="left"/>
      <protection locked="0"/>
    </xf>
    <xf numFmtId="172" fontId="0" fillId="37" borderId="82" xfId="0" applyNumberFormat="1" applyFont="1" applyFill="1" applyBorder="1" applyAlignment="1" applyProtection="1">
      <alignment horizontal="left"/>
      <protection locked="0"/>
    </xf>
    <xf numFmtId="0" fontId="48" fillId="42" borderId="0" xfId="0" applyNumberFormat="1" applyFont="1" applyFill="1" applyBorder="1" applyAlignment="1">
      <alignment/>
    </xf>
    <xf numFmtId="0" fontId="0" fillId="0" borderId="91" xfId="0" applyBorder="1" applyAlignment="1">
      <alignment/>
    </xf>
    <xf numFmtId="0" fontId="49" fillId="43" borderId="0" xfId="0" applyNumberFormat="1" applyFont="1" applyFill="1" applyAlignment="1">
      <alignment vertical="center"/>
    </xf>
    <xf numFmtId="0" fontId="50" fillId="43" borderId="0" xfId="0" applyNumberFormat="1" applyFont="1" applyFill="1" applyAlignment="1">
      <alignment/>
    </xf>
    <xf numFmtId="0" fontId="50" fillId="43" borderId="0" xfId="0" applyFont="1" applyFill="1" applyAlignment="1">
      <alignment/>
    </xf>
    <xf numFmtId="0" fontId="0" fillId="42" borderId="0" xfId="0" applyNumberFormat="1" applyFill="1" applyAlignment="1">
      <alignment horizontal="left"/>
    </xf>
    <xf numFmtId="0" fontId="51" fillId="0" borderId="0" xfId="0" applyNumberFormat="1" applyFont="1" applyBorder="1" applyAlignment="1" applyProtection="1">
      <alignment horizontal="right"/>
      <protection/>
    </xf>
    <xf numFmtId="0" fontId="10" fillId="0" borderId="83" xfId="0" applyFont="1" applyBorder="1" applyAlignment="1">
      <alignment vertical="center"/>
    </xf>
    <xf numFmtId="0" fontId="0" fillId="0" borderId="6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2" xfId="0" applyFont="1" applyBorder="1" applyAlignment="1">
      <alignment vertical="center"/>
    </xf>
    <xf numFmtId="0" fontId="5" fillId="0" borderId="92" xfId="0" applyFont="1" applyBorder="1" applyAlignment="1">
      <alignment horizontal="right" vertical="center"/>
    </xf>
    <xf numFmtId="0" fontId="5" fillId="0" borderId="86" xfId="0" applyFont="1" applyBorder="1" applyAlignment="1">
      <alignment vertical="center"/>
    </xf>
    <xf numFmtId="0" fontId="37" fillId="0" borderId="33" xfId="0" applyNumberFormat="1" applyFont="1" applyBorder="1" applyAlignment="1">
      <alignment horizontal="center" vertical="center"/>
    </xf>
    <xf numFmtId="0" fontId="37" fillId="0" borderId="50" xfId="0" applyNumberFormat="1" applyFont="1" applyBorder="1" applyAlignment="1">
      <alignment horizontal="center" vertical="center"/>
    </xf>
    <xf numFmtId="0" fontId="0" fillId="37" borderId="83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103" xfId="0" applyNumberFormat="1" applyFont="1" applyBorder="1" applyAlignment="1" applyProtection="1">
      <alignment horizontal="center" vertical="center"/>
      <protection/>
    </xf>
    <xf numFmtId="0" fontId="15" fillId="0" borderId="104" xfId="0" applyNumberFormat="1" applyFont="1" applyBorder="1" applyAlignment="1" applyProtection="1">
      <alignment horizontal="center"/>
      <protection/>
    </xf>
    <xf numFmtId="0" fontId="0" fillId="0" borderId="105" xfId="0" applyNumberFormat="1" applyFont="1" applyBorder="1" applyAlignment="1" applyProtection="1">
      <alignment horizontal="center" vertical="center"/>
      <protection/>
    </xf>
    <xf numFmtId="0" fontId="48" fillId="42" borderId="0" xfId="0" applyFont="1" applyFill="1" applyAlignment="1">
      <alignment horizontal="center"/>
    </xf>
    <xf numFmtId="0" fontId="0" fillId="37" borderId="106" xfId="0" applyNumberFormat="1" applyFont="1" applyFill="1" applyBorder="1" applyAlignment="1" applyProtection="1">
      <alignment horizontal="left" vertical="center"/>
      <protection locked="0"/>
    </xf>
    <xf numFmtId="0" fontId="0" fillId="37" borderId="107" xfId="0" applyNumberFormat="1" applyFont="1" applyFill="1" applyBorder="1" applyAlignment="1" applyProtection="1">
      <alignment horizontal="left" vertical="center"/>
      <protection locked="0"/>
    </xf>
    <xf numFmtId="0" fontId="0" fillId="35" borderId="108" xfId="0" applyNumberFormat="1" applyFont="1" applyFill="1" applyBorder="1" applyAlignment="1" applyProtection="1">
      <alignment horizontal="center" vertical="center"/>
      <protection locked="0"/>
    </xf>
    <xf numFmtId="0" fontId="0" fillId="35" borderId="109" xfId="0" applyNumberFormat="1" applyFont="1" applyFill="1" applyBorder="1" applyAlignment="1" applyProtection="1">
      <alignment horizontal="center" vertical="center"/>
      <protection locked="0"/>
    </xf>
    <xf numFmtId="0" fontId="0" fillId="35" borderId="108" xfId="0" applyNumberFormat="1" applyFont="1" applyFill="1" applyBorder="1" applyAlignment="1" applyProtection="1">
      <alignment horizontal="center"/>
      <protection locked="0"/>
    </xf>
    <xf numFmtId="0" fontId="0" fillId="35" borderId="110" xfId="0" applyNumberFormat="1" applyFont="1" applyFill="1" applyBorder="1" applyAlignment="1" applyProtection="1">
      <alignment horizontal="center"/>
      <protection locked="0"/>
    </xf>
    <xf numFmtId="0" fontId="0" fillId="35" borderId="111" xfId="0" applyNumberFormat="1" applyFont="1" applyFill="1" applyBorder="1" applyAlignment="1" applyProtection="1">
      <alignment horizontal="center" vertical="center"/>
      <protection locked="0"/>
    </xf>
    <xf numFmtId="0" fontId="0" fillId="37" borderId="57" xfId="0" applyNumberFormat="1" applyFont="1" applyFill="1" applyBorder="1" applyAlignment="1" applyProtection="1">
      <alignment horizontal="left" vertical="center"/>
      <protection locked="0"/>
    </xf>
    <xf numFmtId="0" fontId="0" fillId="37" borderId="112" xfId="0" applyNumberFormat="1" applyFont="1" applyFill="1" applyBorder="1" applyAlignment="1" applyProtection="1">
      <alignment horizontal="left" vertical="center"/>
      <protection locked="0"/>
    </xf>
    <xf numFmtId="0" fontId="53" fillId="0" borderId="13" xfId="0" applyFont="1" applyBorder="1" applyAlignment="1">
      <alignment horizontal="right" vertical="center"/>
    </xf>
    <xf numFmtId="0" fontId="0" fillId="44" borderId="68" xfId="0" applyNumberFormat="1" applyFont="1" applyFill="1" applyBorder="1" applyAlignment="1">
      <alignment/>
    </xf>
    <xf numFmtId="0" fontId="0" fillId="44" borderId="0" xfId="0" applyNumberFormat="1" applyFont="1" applyFill="1" applyBorder="1" applyAlignment="1">
      <alignment/>
    </xf>
    <xf numFmtId="0" fontId="0" fillId="44" borderId="23" xfId="0" applyFill="1" applyBorder="1" applyAlignment="1">
      <alignment/>
    </xf>
    <xf numFmtId="0" fontId="0" fillId="44" borderId="69" xfId="0" applyNumberFormat="1" applyFont="1" applyFill="1" applyBorder="1" applyAlignment="1">
      <alignment/>
    </xf>
    <xf numFmtId="0" fontId="0" fillId="44" borderId="70" xfId="0" applyNumberFormat="1" applyFont="1" applyFill="1" applyBorder="1" applyAlignment="1">
      <alignment/>
    </xf>
    <xf numFmtId="0" fontId="0" fillId="44" borderId="71" xfId="0" applyFill="1" applyBorder="1" applyAlignment="1">
      <alignment/>
    </xf>
    <xf numFmtId="0" fontId="6" fillId="40" borderId="113" xfId="0" applyNumberFormat="1" applyFont="1" applyFill="1" applyBorder="1" applyAlignment="1">
      <alignment vertical="center"/>
    </xf>
    <xf numFmtId="0" fontId="5" fillId="40" borderId="114" xfId="0" applyNumberFormat="1" applyFont="1" applyFill="1" applyBorder="1" applyAlignment="1">
      <alignment vertical="center"/>
    </xf>
    <xf numFmtId="0" fontId="5" fillId="40" borderId="115" xfId="0" applyNumberFormat="1" applyFont="1" applyFill="1" applyBorder="1" applyAlignment="1">
      <alignment vertical="center"/>
    </xf>
    <xf numFmtId="0" fontId="5" fillId="40" borderId="1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0" fillId="37" borderId="112" xfId="0" applyNumberFormat="1" applyFont="1" applyFill="1" applyBorder="1" applyAlignment="1" applyProtection="1">
      <alignment horizontal="center" vertical="center"/>
      <protection locked="0"/>
    </xf>
    <xf numFmtId="0" fontId="0" fillId="37" borderId="41" xfId="0" applyNumberFormat="1" applyFont="1" applyFill="1" applyBorder="1" applyAlignment="1" applyProtection="1">
      <alignment horizontal="center" vertical="center"/>
      <protection locked="0"/>
    </xf>
    <xf numFmtId="0" fontId="0" fillId="37" borderId="48" xfId="0" applyNumberFormat="1" applyFont="1" applyFill="1" applyBorder="1" applyAlignment="1" applyProtection="1">
      <alignment horizontal="center" vertical="center"/>
      <protection locked="0"/>
    </xf>
    <xf numFmtId="0" fontId="0" fillId="37" borderId="79" xfId="0" applyNumberFormat="1" applyFont="1" applyFill="1" applyBorder="1" applyAlignment="1" applyProtection="1">
      <alignment horizontal="center" vertical="center"/>
      <protection locked="0"/>
    </xf>
    <xf numFmtId="0" fontId="0" fillId="37" borderId="79" xfId="0" applyFill="1" applyBorder="1" applyAlignment="1" applyProtection="1">
      <alignment/>
      <protection locked="0"/>
    </xf>
    <xf numFmtId="0" fontId="0" fillId="37" borderId="0" xfId="0" applyNumberFormat="1" applyFont="1" applyFill="1" applyBorder="1" applyAlignment="1" applyProtection="1">
      <alignment horizontal="left" vertical="center"/>
      <protection locked="0"/>
    </xf>
    <xf numFmtId="0" fontId="5" fillId="40" borderId="117" xfId="0" applyNumberFormat="1" applyFont="1" applyFill="1" applyBorder="1" applyAlignment="1">
      <alignment horizontal="center" vertical="center"/>
    </xf>
    <xf numFmtId="0" fontId="26" fillId="0" borderId="118" xfId="0" applyNumberFormat="1" applyFont="1" applyBorder="1" applyAlignment="1" applyProtection="1">
      <alignment horizontal="center" vertical="center"/>
      <protection locked="0"/>
    </xf>
    <xf numFmtId="0" fontId="26" fillId="0" borderId="119" xfId="0" applyNumberFormat="1" applyFont="1" applyBorder="1" applyAlignment="1" applyProtection="1">
      <alignment horizontal="center" vertical="center"/>
      <protection locked="0"/>
    </xf>
    <xf numFmtId="174" fontId="26" fillId="0" borderId="120" xfId="0" applyNumberFormat="1" applyFont="1" applyBorder="1" applyAlignment="1">
      <alignment horizontal="center" vertical="center"/>
    </xf>
    <xf numFmtId="0" fontId="26" fillId="0" borderId="12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/>
    </xf>
    <xf numFmtId="0" fontId="0" fillId="45" borderId="91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5" borderId="0" xfId="0" applyNumberFormat="1" applyFont="1" applyFill="1" applyBorder="1" applyAlignment="1" applyProtection="1">
      <alignment/>
      <protection locked="0"/>
    </xf>
    <xf numFmtId="0" fontId="0" fillId="45" borderId="92" xfId="0" applyNumberFormat="1" applyFont="1" applyFill="1" applyBorder="1" applyAlignment="1" applyProtection="1">
      <alignment/>
      <protection locked="0"/>
    </xf>
    <xf numFmtId="0" fontId="0" fillId="45" borderId="91" xfId="0" applyNumberFormat="1" applyFont="1" applyFill="1" applyBorder="1" applyAlignment="1" applyProtection="1">
      <alignment/>
      <protection locked="0"/>
    </xf>
    <xf numFmtId="2" fontId="0" fillId="37" borderId="122" xfId="0" applyNumberFormat="1" applyFont="1" applyFill="1" applyBorder="1" applyAlignment="1" applyProtection="1">
      <alignment horizontal="center" vertical="center"/>
      <protection locked="0"/>
    </xf>
    <xf numFmtId="2" fontId="0" fillId="37" borderId="123" xfId="0" applyNumberFormat="1" applyFont="1" applyFill="1" applyBorder="1" applyAlignment="1" applyProtection="1">
      <alignment horizontal="center" vertical="center"/>
      <protection locked="0"/>
    </xf>
    <xf numFmtId="2" fontId="0" fillId="37" borderId="124" xfId="0" applyNumberFormat="1" applyFont="1" applyFill="1" applyBorder="1" applyAlignment="1" applyProtection="1">
      <alignment horizontal="center" vertical="center"/>
      <protection locked="0"/>
    </xf>
    <xf numFmtId="2" fontId="0" fillId="37" borderId="125" xfId="0" applyNumberFormat="1" applyFont="1" applyFill="1" applyBorder="1" applyAlignment="1" applyProtection="1">
      <alignment horizontal="center" vertical="center"/>
      <protection locked="0"/>
    </xf>
    <xf numFmtId="2" fontId="26" fillId="0" borderId="119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/>
    </xf>
    <xf numFmtId="2" fontId="9" fillId="0" borderId="126" xfId="0" applyNumberFormat="1" applyFont="1" applyBorder="1" applyAlignment="1">
      <alignment horizontal="center"/>
    </xf>
    <xf numFmtId="2" fontId="15" fillId="0" borderId="127" xfId="0" applyNumberFormat="1" applyFont="1" applyBorder="1" applyAlignment="1">
      <alignment horizontal="left" vertical="center"/>
    </xf>
    <xf numFmtId="2" fontId="0" fillId="0" borderId="33" xfId="0" applyNumberFormat="1" applyFont="1" applyBorder="1" applyAlignment="1">
      <alignment horizontal="right" vertical="center"/>
    </xf>
    <xf numFmtId="2" fontId="15" fillId="0" borderId="106" xfId="0" applyNumberFormat="1" applyFont="1" applyBorder="1" applyAlignment="1">
      <alignment horizontal="left" vertical="center"/>
    </xf>
    <xf numFmtId="2" fontId="0" fillId="0" borderId="50" xfId="0" applyNumberFormat="1" applyFont="1" applyBorder="1" applyAlignment="1">
      <alignment horizontal="right" vertical="center"/>
    </xf>
    <xf numFmtId="2" fontId="0" fillId="0" borderId="59" xfId="0" applyNumberForma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0" fontId="5" fillId="0" borderId="82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128" xfId="0" applyFont="1" applyBorder="1" applyAlignment="1">
      <alignment horizontal="left" vertical="center"/>
    </xf>
    <xf numFmtId="0" fontId="0" fillId="0" borderId="90" xfId="0" applyBorder="1" applyAlignment="1">
      <alignment/>
    </xf>
    <xf numFmtId="14" fontId="0" fillId="0" borderId="0" xfId="0" applyNumberFormat="1" applyAlignment="1">
      <alignment/>
    </xf>
    <xf numFmtId="0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2" fontId="9" fillId="0" borderId="0" xfId="0" applyNumberFormat="1" applyFont="1" applyBorder="1" applyAlignment="1">
      <alignment horizontal="left" vertical="center"/>
    </xf>
    <xf numFmtId="0" fontId="0" fillId="0" borderId="129" xfId="0" applyNumberFormat="1" applyFont="1" applyBorder="1" applyAlignment="1" applyProtection="1">
      <alignment/>
      <protection/>
    </xf>
    <xf numFmtId="0" fontId="0" fillId="0" borderId="130" xfId="0" applyNumberFormat="1" applyFont="1" applyBorder="1" applyAlignment="1" applyProtection="1">
      <alignment/>
      <protection/>
    </xf>
    <xf numFmtId="0" fontId="0" fillId="0" borderId="74" xfId="0" applyNumberFormat="1" applyFont="1" applyBorder="1" applyAlignment="1" applyProtection="1">
      <alignment/>
      <protection/>
    </xf>
    <xf numFmtId="0" fontId="4" fillId="0" borderId="130" xfId="0" applyNumberFormat="1" applyFont="1" applyBorder="1" applyAlignment="1" applyProtection="1">
      <alignment horizontal="center"/>
      <protection/>
    </xf>
    <xf numFmtId="0" fontId="4" fillId="0" borderId="74" xfId="0" applyNumberFormat="1" applyFont="1" applyBorder="1" applyAlignment="1" applyProtection="1">
      <alignment/>
      <protection/>
    </xf>
    <xf numFmtId="0" fontId="4" fillId="0" borderId="130" xfId="0" applyNumberFormat="1" applyFont="1" applyBorder="1" applyAlignment="1" applyProtection="1">
      <alignment horizontal="left"/>
      <protection/>
    </xf>
    <xf numFmtId="0" fontId="4" fillId="0" borderId="130" xfId="0" applyNumberFormat="1" applyFont="1" applyBorder="1" applyAlignment="1" applyProtection="1">
      <alignment/>
      <protection/>
    </xf>
    <xf numFmtId="0" fontId="4" fillId="0" borderId="131" xfId="0" applyNumberFormat="1" applyFont="1" applyBorder="1" applyAlignment="1" applyProtection="1">
      <alignment horizontal="center"/>
      <protection/>
    </xf>
    <xf numFmtId="0" fontId="0" fillId="0" borderId="132" xfId="0" applyNumberFormat="1" applyFont="1" applyBorder="1" applyAlignment="1" applyProtection="1">
      <alignment horizontal="left" vertical="center"/>
      <protection/>
    </xf>
    <xf numFmtId="0" fontId="4" fillId="0" borderId="133" xfId="0" applyNumberFormat="1" applyFont="1" applyBorder="1" applyAlignment="1" applyProtection="1">
      <alignment horizontal="center" vertical="center"/>
      <protection/>
    </xf>
    <xf numFmtId="0" fontId="18" fillId="0" borderId="105" xfId="0" applyNumberFormat="1" applyFont="1" applyBorder="1" applyAlignment="1">
      <alignment horizontal="left" vertical="center"/>
    </xf>
    <xf numFmtId="0" fontId="9" fillId="0" borderId="134" xfId="0" applyNumberFormat="1" applyFont="1" applyBorder="1" applyAlignment="1">
      <alignment horizontal="center" vertical="center"/>
    </xf>
    <xf numFmtId="0" fontId="5" fillId="0" borderId="135" xfId="0" applyNumberFormat="1" applyFont="1" applyBorder="1" applyAlignment="1">
      <alignment horizontal="left" vertical="center"/>
    </xf>
    <xf numFmtId="0" fontId="9" fillId="0" borderId="124" xfId="0" applyNumberFormat="1" applyFont="1" applyBorder="1" applyAlignment="1">
      <alignment horizontal="center" vertical="center"/>
    </xf>
    <xf numFmtId="0" fontId="5" fillId="0" borderId="136" xfId="0" applyNumberFormat="1" applyFont="1" applyBorder="1" applyAlignment="1">
      <alignment horizontal="left" vertical="center"/>
    </xf>
    <xf numFmtId="0" fontId="0" fillId="0" borderId="137" xfId="0" applyNumberFormat="1" applyFont="1" applyBorder="1" applyAlignment="1">
      <alignment vertical="center"/>
    </xf>
    <xf numFmtId="0" fontId="0" fillId="0" borderId="138" xfId="0" applyNumberFormat="1" applyFont="1" applyBorder="1" applyAlignment="1">
      <alignment vertical="center"/>
    </xf>
    <xf numFmtId="0" fontId="37" fillId="0" borderId="137" xfId="0" applyNumberFormat="1" applyFont="1" applyBorder="1" applyAlignment="1">
      <alignment horizontal="center" vertical="center"/>
    </xf>
    <xf numFmtId="0" fontId="4" fillId="0" borderId="138" xfId="0" applyNumberFormat="1" applyFont="1" applyBorder="1" applyAlignment="1">
      <alignment vertical="center"/>
    </xf>
    <xf numFmtId="0" fontId="0" fillId="0" borderId="137" xfId="0" applyNumberFormat="1" applyFont="1" applyBorder="1" applyAlignment="1">
      <alignment horizontal="center" vertical="center"/>
    </xf>
    <xf numFmtId="0" fontId="0" fillId="0" borderId="137" xfId="0" applyNumberFormat="1" applyFont="1" applyBorder="1" applyAlignment="1">
      <alignment horizontal="left" vertical="center"/>
    </xf>
    <xf numFmtId="2" fontId="15" fillId="0" borderId="107" xfId="0" applyNumberFormat="1" applyFont="1" applyBorder="1" applyAlignment="1">
      <alignment horizontal="left" vertical="center"/>
    </xf>
    <xf numFmtId="2" fontId="0" fillId="0" borderId="137" xfId="0" applyNumberFormat="1" applyFont="1" applyBorder="1" applyAlignment="1">
      <alignment horizontal="right" vertical="center"/>
    </xf>
    <xf numFmtId="0" fontId="9" fillId="0" borderId="125" xfId="0" applyNumberFormat="1" applyFont="1" applyBorder="1" applyAlignment="1">
      <alignment horizontal="center" vertical="center"/>
    </xf>
    <xf numFmtId="0" fontId="0" fillId="45" borderId="81" xfId="0" applyNumberFormat="1" applyFont="1" applyFill="1" applyBorder="1" applyAlignment="1" applyProtection="1">
      <alignment/>
      <protection locked="0"/>
    </xf>
    <xf numFmtId="0" fontId="0" fillId="45" borderId="88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6" fillId="46" borderId="73" xfId="0" applyNumberFormat="1" applyFont="1" applyFill="1" applyBorder="1" applyAlignment="1" applyProtection="1">
      <alignment horizontal="center"/>
      <protection/>
    </xf>
    <xf numFmtId="0" fontId="96" fillId="0" borderId="0" xfId="0" applyFont="1" applyAlignment="1">
      <alignment/>
    </xf>
    <xf numFmtId="0" fontId="32" fillId="35" borderId="96" xfId="0" applyFont="1" applyFill="1" applyBorder="1" applyAlignment="1">
      <alignment horizontal="center"/>
    </xf>
    <xf numFmtId="0" fontId="32" fillId="35" borderId="98" xfId="0" applyFont="1" applyFill="1" applyBorder="1" applyAlignment="1">
      <alignment horizontal="center"/>
    </xf>
    <xf numFmtId="0" fontId="32" fillId="35" borderId="144" xfId="0" applyFont="1" applyFill="1" applyBorder="1" applyAlignment="1">
      <alignment horizontal="center"/>
    </xf>
    <xf numFmtId="0" fontId="5" fillId="37" borderId="82" xfId="0" applyNumberFormat="1" applyFont="1" applyFill="1" applyBorder="1" applyAlignment="1" applyProtection="1">
      <alignment horizontal="center" vertical="center"/>
      <protection locked="0"/>
    </xf>
    <xf numFmtId="0" fontId="5" fillId="37" borderId="83" xfId="0" applyNumberFormat="1" applyFont="1" applyFill="1" applyBorder="1" applyAlignment="1" applyProtection="1">
      <alignment horizontal="center" vertical="center"/>
      <protection locked="0"/>
    </xf>
    <xf numFmtId="0" fontId="5" fillId="37" borderId="84" xfId="0" applyNumberFormat="1" applyFont="1" applyFill="1" applyBorder="1" applyAlignment="1" applyProtection="1">
      <alignment horizontal="center" vertical="center"/>
      <protection locked="0"/>
    </xf>
    <xf numFmtId="0" fontId="18" fillId="35" borderId="69" xfId="0" applyNumberFormat="1" applyFont="1" applyFill="1" applyBorder="1" applyAlignment="1">
      <alignment horizontal="left" indent="1"/>
    </xf>
    <xf numFmtId="0" fontId="18" fillId="35" borderId="70" xfId="0" applyNumberFormat="1" applyFont="1" applyFill="1" applyBorder="1" applyAlignment="1">
      <alignment horizontal="left" indent="1"/>
    </xf>
    <xf numFmtId="0" fontId="18" fillId="35" borderId="71" xfId="0" applyNumberFormat="1" applyFont="1" applyFill="1" applyBorder="1" applyAlignment="1">
      <alignment horizontal="left" indent="1"/>
    </xf>
    <xf numFmtId="0" fontId="18" fillId="35" borderId="73" xfId="0" applyNumberFormat="1" applyFont="1" applyFill="1" applyBorder="1" applyAlignment="1">
      <alignment horizontal="left" indent="1"/>
    </xf>
    <xf numFmtId="0" fontId="18" fillId="35" borderId="74" xfId="0" applyNumberFormat="1" applyFont="1" applyFill="1" applyBorder="1" applyAlignment="1">
      <alignment horizontal="left" indent="1"/>
    </xf>
    <xf numFmtId="0" fontId="18" fillId="35" borderId="75" xfId="0" applyNumberFormat="1" applyFont="1" applyFill="1" applyBorder="1" applyAlignment="1">
      <alignment horizontal="left" indent="1"/>
    </xf>
    <xf numFmtId="0" fontId="18" fillId="35" borderId="68" xfId="0" applyNumberFormat="1" applyFont="1" applyFill="1" applyBorder="1" applyAlignment="1">
      <alignment horizontal="left" indent="1"/>
    </xf>
    <xf numFmtId="0" fontId="18" fillId="35" borderId="0" xfId="0" applyNumberFormat="1" applyFont="1" applyFill="1" applyBorder="1" applyAlignment="1">
      <alignment horizontal="left" indent="1"/>
    </xf>
    <xf numFmtId="0" fontId="18" fillId="35" borderId="23" xfId="0" applyNumberFormat="1" applyFont="1" applyFill="1" applyBorder="1" applyAlignment="1">
      <alignment horizontal="left" indent="1"/>
    </xf>
    <xf numFmtId="0" fontId="27" fillId="44" borderId="73" xfId="0" applyNumberFormat="1" applyFont="1" applyFill="1" applyBorder="1" applyAlignment="1">
      <alignment horizontal="center"/>
    </xf>
    <xf numFmtId="0" fontId="27" fillId="44" borderId="74" xfId="0" applyNumberFormat="1" applyFont="1" applyFill="1" applyBorder="1" applyAlignment="1">
      <alignment horizontal="center"/>
    </xf>
    <xf numFmtId="0" fontId="27" fillId="44" borderId="75" xfId="0" applyNumberFormat="1" applyFont="1" applyFill="1" applyBorder="1" applyAlignment="1">
      <alignment horizontal="center"/>
    </xf>
    <xf numFmtId="0" fontId="0" fillId="37" borderId="82" xfId="0" applyNumberFormat="1" applyFont="1" applyFill="1" applyBorder="1" applyAlignment="1" applyProtection="1">
      <alignment horizontal="left" vertical="center"/>
      <protection locked="0"/>
    </xf>
    <xf numFmtId="0" fontId="0" fillId="37" borderId="84" xfId="0" applyNumberFormat="1" applyFont="1" applyFill="1" applyBorder="1" applyAlignment="1" applyProtection="1">
      <alignment horizontal="left" vertical="center"/>
      <protection locked="0"/>
    </xf>
    <xf numFmtId="2" fontId="10" fillId="0" borderId="1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0" fontId="30" fillId="0" borderId="145" xfId="0" applyFont="1" applyBorder="1" applyAlignment="1" applyProtection="1">
      <alignment horizontal="center" vertical="center"/>
      <protection locked="0"/>
    </xf>
    <xf numFmtId="0" fontId="30" fillId="0" borderId="146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12" fillId="47" borderId="73" xfId="0" applyNumberFormat="1" applyFont="1" applyFill="1" applyBorder="1" applyAlignment="1">
      <alignment horizontal="center" vertical="center" textRotation="90"/>
    </xf>
    <xf numFmtId="0" fontId="12" fillId="47" borderId="75" xfId="0" applyNumberFormat="1" applyFont="1" applyFill="1" applyBorder="1" applyAlignment="1">
      <alignment horizontal="center" vertical="center" textRotation="90"/>
    </xf>
    <xf numFmtId="0" fontId="12" fillId="47" borderId="68" xfId="0" applyNumberFormat="1" applyFont="1" applyFill="1" applyBorder="1" applyAlignment="1">
      <alignment horizontal="center" vertical="center" textRotation="90"/>
    </xf>
    <xf numFmtId="0" fontId="12" fillId="47" borderId="23" xfId="0" applyNumberFormat="1" applyFont="1" applyFill="1" applyBorder="1" applyAlignment="1">
      <alignment horizontal="center" vertical="center" textRotation="90"/>
    </xf>
    <xf numFmtId="0" fontId="12" fillId="47" borderId="69" xfId="0" applyNumberFormat="1" applyFont="1" applyFill="1" applyBorder="1" applyAlignment="1">
      <alignment horizontal="center" vertical="center" textRotation="90"/>
    </xf>
    <xf numFmtId="0" fontId="12" fillId="47" borderId="71" xfId="0" applyNumberFormat="1" applyFont="1" applyFill="1" applyBorder="1" applyAlignment="1">
      <alignment horizontal="center" vertical="center" textRotation="90"/>
    </xf>
    <xf numFmtId="0" fontId="57" fillId="0" borderId="2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5" fillId="0" borderId="147" xfId="0" applyNumberFormat="1" applyFont="1" applyBorder="1" applyAlignment="1" applyProtection="1">
      <alignment horizontal="center"/>
      <protection/>
    </xf>
    <xf numFmtId="0" fontId="15" fillId="0" borderId="101" xfId="0" applyNumberFormat="1" applyFont="1" applyBorder="1" applyAlignment="1" applyProtection="1">
      <alignment horizontal="center"/>
      <protection/>
    </xf>
    <xf numFmtId="0" fontId="15" fillId="0" borderId="148" xfId="0" applyNumberFormat="1" applyFont="1" applyBorder="1" applyAlignment="1" applyProtection="1">
      <alignment horizontal="center"/>
      <protection/>
    </xf>
    <xf numFmtId="0" fontId="15" fillId="0" borderId="149" xfId="0" applyNumberFormat="1" applyFont="1" applyBorder="1" applyAlignment="1" applyProtection="1">
      <alignment horizontal="center"/>
      <protection/>
    </xf>
    <xf numFmtId="0" fontId="15" fillId="0" borderId="150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/>
    </xf>
    <xf numFmtId="0" fontId="4" fillId="0" borderId="69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15" fillId="0" borderId="151" xfId="0" applyNumberFormat="1" applyFont="1" applyBorder="1" applyAlignment="1" applyProtection="1">
      <alignment horizontal="center"/>
      <protection/>
    </xf>
    <xf numFmtId="173" fontId="5" fillId="0" borderId="87" xfId="0" applyNumberFormat="1" applyFont="1" applyBorder="1" applyAlignment="1" applyProtection="1">
      <alignment horizontal="center"/>
      <protection locked="0"/>
    </xf>
    <xf numFmtId="173" fontId="5" fillId="0" borderId="0" xfId="0" applyNumberFormat="1" applyFont="1" applyBorder="1" applyAlignment="1" applyProtection="1">
      <alignment horizontal="center"/>
      <protection locked="0"/>
    </xf>
    <xf numFmtId="173" fontId="5" fillId="0" borderId="92" xfId="0" applyNumberFormat="1" applyFont="1" applyBorder="1" applyAlignment="1" applyProtection="1">
      <alignment horizontal="center"/>
      <protection locked="0"/>
    </xf>
    <xf numFmtId="0" fontId="5" fillId="0" borderId="152" xfId="0" applyNumberFormat="1" applyFont="1" applyBorder="1" applyAlignment="1" applyProtection="1">
      <alignment horizontal="center" vertical="center"/>
      <protection/>
    </xf>
    <xf numFmtId="0" fontId="5" fillId="0" borderId="36" xfId="0" applyNumberFormat="1" applyFont="1" applyBorder="1" applyAlignment="1" applyProtection="1">
      <alignment horizontal="center" vertical="center"/>
      <protection/>
    </xf>
    <xf numFmtId="0" fontId="55" fillId="0" borderId="82" xfId="45" applyNumberFormat="1" applyFont="1" applyBorder="1" applyAlignment="1" applyProtection="1">
      <alignment horizontal="center" vertical="center"/>
      <protection/>
    </xf>
    <xf numFmtId="0" fontId="55" fillId="0" borderId="83" xfId="45" applyNumberFormat="1" applyFont="1" applyBorder="1" applyAlignment="1" applyProtection="1">
      <alignment horizontal="center" vertical="center"/>
      <protection/>
    </xf>
    <xf numFmtId="0" fontId="55" fillId="0" borderId="84" xfId="45" applyNumberFormat="1" applyFont="1" applyBorder="1" applyAlignment="1" applyProtection="1">
      <alignment horizontal="center" vertical="center"/>
      <protection/>
    </xf>
    <xf numFmtId="0" fontId="17" fillId="0" borderId="153" xfId="0" applyNumberFormat="1" applyFont="1" applyBorder="1" applyAlignment="1" applyProtection="1">
      <alignment horizontal="center" vertical="center"/>
      <protection/>
    </xf>
    <xf numFmtId="0" fontId="17" fillId="0" borderId="154" xfId="0" applyNumberFormat="1" applyFont="1" applyBorder="1" applyAlignment="1" applyProtection="1">
      <alignment horizontal="center" vertical="center"/>
      <protection/>
    </xf>
    <xf numFmtId="0" fontId="5" fillId="0" borderId="155" xfId="0" applyNumberFormat="1" applyFont="1" applyBorder="1" applyAlignment="1" applyProtection="1">
      <alignment horizontal="center" vertical="center"/>
      <protection/>
    </xf>
    <xf numFmtId="0" fontId="5" fillId="0" borderId="156" xfId="0" applyNumberFormat="1" applyFont="1" applyBorder="1" applyAlignment="1" applyProtection="1">
      <alignment horizontal="center" vertical="center"/>
      <protection/>
    </xf>
    <xf numFmtId="179" fontId="1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92" xfId="0" applyNumberFormat="1" applyFont="1" applyBorder="1" applyAlignment="1" applyProtection="1">
      <alignment/>
      <protection/>
    </xf>
    <xf numFmtId="2" fontId="0" fillId="46" borderId="50" xfId="0" applyNumberFormat="1" applyFont="1" applyFill="1" applyBorder="1" applyAlignment="1">
      <alignment horizontal="center"/>
    </xf>
    <xf numFmtId="2" fontId="0" fillId="46" borderId="51" xfId="0" applyNumberFormat="1" applyFont="1" applyFill="1" applyBorder="1" applyAlignment="1">
      <alignment horizontal="center"/>
    </xf>
    <xf numFmtId="2" fontId="0" fillId="46" borderId="54" xfId="0" applyNumberFormat="1" applyFont="1" applyFill="1" applyBorder="1" applyAlignment="1">
      <alignment horizontal="center"/>
    </xf>
    <xf numFmtId="2" fontId="0" fillId="46" borderId="33" xfId="0" applyNumberFormat="1" applyFont="1" applyFill="1" applyBorder="1" applyAlignment="1">
      <alignment horizontal="center"/>
    </xf>
    <xf numFmtId="2" fontId="0" fillId="46" borderId="0" xfId="0" applyNumberFormat="1" applyFont="1" applyFill="1" applyBorder="1" applyAlignment="1">
      <alignment horizontal="center"/>
    </xf>
    <xf numFmtId="2" fontId="0" fillId="46" borderId="55" xfId="0" applyNumberFormat="1" applyFont="1" applyFill="1" applyBorder="1" applyAlignment="1">
      <alignment horizontal="center"/>
    </xf>
    <xf numFmtId="2" fontId="0" fillId="46" borderId="157" xfId="0" applyNumberFormat="1" applyFont="1" applyFill="1" applyBorder="1" applyAlignment="1">
      <alignment horizontal="center"/>
    </xf>
    <xf numFmtId="2" fontId="0" fillId="46" borderId="56" xfId="0" applyNumberFormat="1" applyFont="1" applyFill="1" applyBorder="1" applyAlignment="1">
      <alignment horizontal="center"/>
    </xf>
    <xf numFmtId="2" fontId="0" fillId="46" borderId="57" xfId="0" applyNumberFormat="1" applyFont="1" applyFill="1" applyBorder="1" applyAlignment="1">
      <alignment horizontal="center"/>
    </xf>
    <xf numFmtId="0" fontId="0" fillId="0" borderId="91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92" xfId="0" applyNumberFormat="1" applyBorder="1" applyAlignment="1" applyProtection="1">
      <alignment horizontal="center"/>
      <protection locked="0"/>
    </xf>
    <xf numFmtId="0" fontId="0" fillId="0" borderId="9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2" xfId="0" applyBorder="1" applyAlignment="1">
      <alignment horizontal="center"/>
    </xf>
    <xf numFmtId="0" fontId="10" fillId="0" borderId="15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2" fontId="24" fillId="0" borderId="82" xfId="0" applyNumberFormat="1" applyFont="1" applyBorder="1" applyAlignment="1">
      <alignment horizontal="center" vertical="center"/>
    </xf>
    <xf numFmtId="2" fontId="24" fillId="0" borderId="83" xfId="0" applyNumberFormat="1" applyFont="1" applyBorder="1" applyAlignment="1">
      <alignment horizontal="center" vertical="center"/>
    </xf>
    <xf numFmtId="2" fontId="24" fillId="0" borderId="84" xfId="0" applyNumberFormat="1" applyFont="1" applyBorder="1" applyAlignment="1">
      <alignment horizontal="center" vertical="center"/>
    </xf>
    <xf numFmtId="2" fontId="10" fillId="0" borderId="86" xfId="0" applyNumberFormat="1" applyFont="1" applyBorder="1" applyAlignment="1">
      <alignment horizontal="center"/>
    </xf>
    <xf numFmtId="2" fontId="33" fillId="0" borderId="81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52" fillId="0" borderId="128" xfId="0" applyFont="1" applyBorder="1" applyAlignment="1">
      <alignment horizontal="center" vertical="center"/>
    </xf>
    <xf numFmtId="0" fontId="52" fillId="0" borderId="160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4" fillId="0" borderId="90" xfId="0" applyFont="1" applyBorder="1" applyAlignment="1">
      <alignment horizontal="right" vertical="center"/>
    </xf>
    <xf numFmtId="0" fontId="4" fillId="0" borderId="88" xfId="0" applyFont="1" applyBorder="1" applyAlignment="1">
      <alignment horizontal="right" vertical="center"/>
    </xf>
    <xf numFmtId="0" fontId="5" fillId="0" borderId="81" xfId="0" applyFont="1" applyBorder="1" applyAlignment="1">
      <alignment horizontal="center"/>
    </xf>
    <xf numFmtId="179" fontId="15" fillId="0" borderId="85" xfId="0" applyNumberFormat="1" applyFont="1" applyBorder="1" applyAlignment="1" applyProtection="1">
      <alignment horizontal="center" vertical="center"/>
      <protection locked="0"/>
    </xf>
    <xf numFmtId="179" fontId="15" fillId="0" borderId="86" xfId="0" applyNumberFormat="1" applyFont="1" applyBorder="1" applyAlignment="1" applyProtection="1">
      <alignment horizontal="center" vertical="center"/>
      <protection locked="0"/>
    </xf>
    <xf numFmtId="179" fontId="15" fillId="0" borderId="90" xfId="0" applyNumberFormat="1" applyFont="1" applyBorder="1" applyAlignment="1" applyProtection="1">
      <alignment horizontal="center" vertical="center"/>
      <protection locked="0"/>
    </xf>
    <xf numFmtId="179" fontId="15" fillId="0" borderId="91" xfId="0" applyNumberFormat="1" applyFont="1" applyBorder="1" applyAlignment="1" applyProtection="1">
      <alignment horizontal="center" vertical="center"/>
      <protection locked="0"/>
    </xf>
    <xf numFmtId="179" fontId="15" fillId="0" borderId="0" xfId="0" applyNumberFormat="1" applyFont="1" applyBorder="1" applyAlignment="1" applyProtection="1">
      <alignment horizontal="center" vertical="center"/>
      <protection locked="0"/>
    </xf>
    <xf numFmtId="179" fontId="15" fillId="0" borderId="92" xfId="0" applyNumberFormat="1" applyFont="1" applyBorder="1" applyAlignment="1" applyProtection="1">
      <alignment horizontal="center" vertical="center"/>
      <protection locked="0"/>
    </xf>
    <xf numFmtId="179" fontId="15" fillId="0" borderId="87" xfId="0" applyNumberFormat="1" applyFont="1" applyBorder="1" applyAlignment="1" applyProtection="1">
      <alignment horizontal="center" vertical="center"/>
      <protection locked="0"/>
    </xf>
    <xf numFmtId="179" fontId="15" fillId="0" borderId="81" xfId="0" applyNumberFormat="1" applyFont="1" applyBorder="1" applyAlignment="1" applyProtection="1">
      <alignment horizontal="center" vertical="center"/>
      <protection locked="0"/>
    </xf>
    <xf numFmtId="179" fontId="15" fillId="0" borderId="88" xfId="0" applyNumberFormat="1" applyFont="1" applyBorder="1" applyAlignment="1" applyProtection="1">
      <alignment horizontal="center" vertical="center"/>
      <protection locked="0"/>
    </xf>
    <xf numFmtId="0" fontId="26" fillId="0" borderId="85" xfId="0" applyFont="1" applyBorder="1" applyAlignment="1" applyProtection="1">
      <alignment horizontal="center" vertical="center"/>
      <protection locked="0"/>
    </xf>
    <xf numFmtId="0" fontId="26" fillId="0" borderId="86" xfId="0" applyFont="1" applyBorder="1" applyAlignment="1" applyProtection="1">
      <alignment horizontal="center" vertical="center"/>
      <protection locked="0"/>
    </xf>
    <xf numFmtId="0" fontId="26" fillId="0" borderId="90" xfId="0" applyFont="1" applyBorder="1" applyAlignment="1" applyProtection="1">
      <alignment horizontal="center" vertical="center"/>
      <protection locked="0"/>
    </xf>
    <xf numFmtId="0" fontId="26" fillId="0" borderId="9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92" xfId="0" applyFont="1" applyBorder="1" applyAlignment="1" applyProtection="1">
      <alignment horizontal="center" vertical="center"/>
      <protection locked="0"/>
    </xf>
    <xf numFmtId="0" fontId="26" fillId="0" borderId="87" xfId="0" applyFont="1" applyBorder="1" applyAlignment="1" applyProtection="1">
      <alignment horizontal="center" vertical="center"/>
      <protection locked="0"/>
    </xf>
    <xf numFmtId="0" fontId="26" fillId="0" borderId="81" xfId="0" applyFont="1" applyBorder="1" applyAlignment="1" applyProtection="1">
      <alignment horizontal="center" vertical="center"/>
      <protection locked="0"/>
    </xf>
    <xf numFmtId="0" fontId="26" fillId="0" borderId="88" xfId="0" applyFont="1" applyBorder="1" applyAlignment="1" applyProtection="1">
      <alignment horizontal="center" vertical="center"/>
      <protection locked="0"/>
    </xf>
    <xf numFmtId="0" fontId="10" fillId="0" borderId="82" xfId="0" applyFont="1" applyBorder="1" applyAlignment="1" applyProtection="1">
      <alignment horizontal="center" vertical="center"/>
      <protection locked="0"/>
    </xf>
    <xf numFmtId="0" fontId="10" fillId="0" borderId="83" xfId="0" applyFont="1" applyBorder="1" applyAlignment="1" applyProtection="1">
      <alignment horizontal="center" vertical="center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26" fillId="0" borderId="82" xfId="0" applyFont="1" applyBorder="1" applyAlignment="1" applyProtection="1">
      <alignment horizontal="center" vertical="center"/>
      <protection locked="0"/>
    </xf>
    <xf numFmtId="0" fontId="26" fillId="0" borderId="83" xfId="0" applyFont="1" applyBorder="1" applyAlignment="1" applyProtection="1">
      <alignment horizontal="center" vertical="center"/>
      <protection locked="0"/>
    </xf>
    <xf numFmtId="0" fontId="26" fillId="0" borderId="84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center" vertical="center"/>
      <protection locked="0"/>
    </xf>
    <xf numFmtId="0" fontId="26" fillId="0" borderId="82" xfId="0" applyFont="1" applyBorder="1" applyAlignment="1" applyProtection="1" quotePrefix="1">
      <alignment horizontal="center" vertical="center"/>
      <protection locked="0"/>
    </xf>
    <xf numFmtId="173" fontId="10" fillId="0" borderId="83" xfId="0" applyNumberFormat="1" applyFont="1" applyBorder="1" applyAlignment="1" applyProtection="1">
      <alignment horizontal="center" vertical="center"/>
      <protection locked="0"/>
    </xf>
    <xf numFmtId="173" fontId="10" fillId="0" borderId="84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15" fillId="0" borderId="102" xfId="0" applyFont="1" applyBorder="1" applyAlignment="1" applyProtection="1">
      <alignment horizontal="center" vertical="center"/>
      <protection locked="0"/>
    </xf>
    <xf numFmtId="179" fontId="15" fillId="0" borderId="102" xfId="0" applyNumberFormat="1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2" fillId="0" borderId="68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23" xfId="0" applyFont="1" applyBorder="1" applyAlignment="1" quotePrefix="1">
      <alignment horizontal="center" vertical="center"/>
    </xf>
    <xf numFmtId="0" fontId="24" fillId="0" borderId="69" xfId="0" applyFont="1" applyBorder="1" applyAlignment="1" quotePrefix="1">
      <alignment horizontal="center" vertical="center"/>
    </xf>
    <xf numFmtId="0" fontId="24" fillId="0" borderId="70" xfId="0" applyFont="1" applyBorder="1" applyAlignment="1" quotePrefix="1">
      <alignment horizontal="center" vertical="center"/>
    </xf>
    <xf numFmtId="0" fontId="24" fillId="0" borderId="71" xfId="0" applyFont="1" applyBorder="1" applyAlignment="1" quotePrefix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textRotation="90"/>
    </xf>
    <xf numFmtId="0" fontId="9" fillId="0" borderId="161" xfId="0" applyFont="1" applyBorder="1" applyAlignment="1">
      <alignment horizontal="center" textRotation="90"/>
    </xf>
    <xf numFmtId="0" fontId="24" fillId="0" borderId="9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3" fontId="26" fillId="0" borderId="97" xfId="0" applyNumberFormat="1" applyFont="1" applyBorder="1" applyAlignment="1">
      <alignment horizontal="center" vertical="center"/>
    </xf>
    <xf numFmtId="173" fontId="26" fillId="0" borderId="99" xfId="0" applyNumberFormat="1" applyFont="1" applyBorder="1" applyAlignment="1">
      <alignment horizontal="center" vertical="center"/>
    </xf>
    <xf numFmtId="1" fontId="26" fillId="0" borderId="97" xfId="0" applyNumberFormat="1" applyFont="1" applyBorder="1" applyAlignment="1">
      <alignment horizontal="center" vertical="center"/>
    </xf>
    <xf numFmtId="1" fontId="26" fillId="0" borderId="144" xfId="0" applyNumberFormat="1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2" fontId="26" fillId="0" borderId="97" xfId="0" applyNumberFormat="1" applyFont="1" applyBorder="1" applyAlignment="1">
      <alignment horizontal="center" vertical="center"/>
    </xf>
    <xf numFmtId="2" fontId="26" fillId="0" borderId="98" xfId="0" applyNumberFormat="1" applyFont="1" applyBorder="1" applyAlignment="1">
      <alignment horizontal="center" vertical="center"/>
    </xf>
    <xf numFmtId="2" fontId="26" fillId="0" borderId="99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82" xfId="0" applyNumberFormat="1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dxfs count="10">
    <dxf>
      <font>
        <color indexed="9"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2"/>
        </patternFill>
      </fill>
    </dxf>
    <dxf>
      <fill>
        <patternFill>
          <bgColor indexed="15"/>
        </patternFill>
      </fill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hyperlink" Target="http://www.ffbillard.com/" TargetMode="External" /><Relationship Id="rId5" Type="http://schemas.openxmlformats.org/officeDocument/2006/relationships/hyperlink" Target="http://www.ffbillard.com/" TargetMode="External" /><Relationship Id="rId6" Type="http://schemas.openxmlformats.org/officeDocument/2006/relationships/image" Target="../media/image2.png" /><Relationship Id="rId7" Type="http://schemas.openxmlformats.org/officeDocument/2006/relationships/hyperlink" Target="http://www.liguemidipyreneesdebillard.org/index.php?lng=fr" TargetMode="External" /><Relationship Id="rId8" Type="http://schemas.openxmlformats.org/officeDocument/2006/relationships/hyperlink" Target="http://www.liguemidipyreneesdebillard.org/index.php?lng=fr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pn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9</xdr:row>
      <xdr:rowOff>28575</xdr:rowOff>
    </xdr:from>
    <xdr:ext cx="466725" cy="219075"/>
    <xdr:sp macro="[0]!deuxdecimales">
      <xdr:nvSpPr>
        <xdr:cNvPr id="1" name="Rectangle 10"/>
        <xdr:cNvSpPr>
          <a:spLocks/>
        </xdr:cNvSpPr>
      </xdr:nvSpPr>
      <xdr:spPr>
        <a:xfrm>
          <a:off x="5172075" y="1895475"/>
          <a:ext cx="466725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 fPrintsWithSheet="0"/>
  </xdr:oneCellAnchor>
  <xdr:oneCellAnchor>
    <xdr:from>
      <xdr:col>5</xdr:col>
      <xdr:colOff>923925</xdr:colOff>
      <xdr:row>9</xdr:row>
      <xdr:rowOff>28575</xdr:rowOff>
    </xdr:from>
    <xdr:ext cx="466725" cy="219075"/>
    <xdr:sp macro="[0]!troisdecimales">
      <xdr:nvSpPr>
        <xdr:cNvPr id="2" name="Rectangle 12"/>
        <xdr:cNvSpPr>
          <a:spLocks/>
        </xdr:cNvSpPr>
      </xdr:nvSpPr>
      <xdr:spPr>
        <a:xfrm>
          <a:off x="6229350" y="1895475"/>
          <a:ext cx="466725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21</xdr:row>
      <xdr:rowOff>123825</xdr:rowOff>
    </xdr:from>
    <xdr:to>
      <xdr:col>23</xdr:col>
      <xdr:colOff>28575</xdr:colOff>
      <xdr:row>21</xdr:row>
      <xdr:rowOff>419100</xdr:rowOff>
    </xdr:to>
    <xdr:sp>
      <xdr:nvSpPr>
        <xdr:cNvPr id="1" name="AutoShape 17"/>
        <xdr:cNvSpPr>
          <a:spLocks/>
        </xdr:cNvSpPr>
      </xdr:nvSpPr>
      <xdr:spPr>
        <a:xfrm>
          <a:off x="12896850" y="7667625"/>
          <a:ext cx="933450" cy="2952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99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28</xdr:row>
      <xdr:rowOff>457200</xdr:rowOff>
    </xdr:from>
    <xdr:to>
      <xdr:col>23</xdr:col>
      <xdr:colOff>28575</xdr:colOff>
      <xdr:row>29</xdr:row>
      <xdr:rowOff>266700</xdr:rowOff>
    </xdr:to>
    <xdr:sp>
      <xdr:nvSpPr>
        <xdr:cNvPr id="2" name="AutoShape 18"/>
        <xdr:cNvSpPr>
          <a:spLocks/>
        </xdr:cNvSpPr>
      </xdr:nvSpPr>
      <xdr:spPr>
        <a:xfrm>
          <a:off x="12896850" y="10591800"/>
          <a:ext cx="933450" cy="2952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99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14</xdr:row>
      <xdr:rowOff>123825</xdr:rowOff>
    </xdr:from>
    <xdr:to>
      <xdr:col>23</xdr:col>
      <xdr:colOff>28575</xdr:colOff>
      <xdr:row>14</xdr:row>
      <xdr:rowOff>419100</xdr:rowOff>
    </xdr:to>
    <xdr:sp>
      <xdr:nvSpPr>
        <xdr:cNvPr id="3" name="AutoShape 19"/>
        <xdr:cNvSpPr>
          <a:spLocks/>
        </xdr:cNvSpPr>
      </xdr:nvSpPr>
      <xdr:spPr>
        <a:xfrm>
          <a:off x="12896850" y="5086350"/>
          <a:ext cx="933450" cy="2952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99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7</xdr:row>
      <xdr:rowOff>123825</xdr:rowOff>
    </xdr:from>
    <xdr:to>
      <xdr:col>23</xdr:col>
      <xdr:colOff>28575</xdr:colOff>
      <xdr:row>7</xdr:row>
      <xdr:rowOff>419100</xdr:rowOff>
    </xdr:to>
    <xdr:sp>
      <xdr:nvSpPr>
        <xdr:cNvPr id="4" name="AutoShape 20"/>
        <xdr:cNvSpPr>
          <a:spLocks/>
        </xdr:cNvSpPr>
      </xdr:nvSpPr>
      <xdr:spPr>
        <a:xfrm>
          <a:off x="12896850" y="2590800"/>
          <a:ext cx="933450" cy="2952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99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11</xdr:col>
      <xdr:colOff>571500</xdr:colOff>
      <xdr:row>1</xdr:row>
      <xdr:rowOff>76200</xdr:rowOff>
    </xdr:from>
    <xdr:to>
      <xdr:col>21</xdr:col>
      <xdr:colOff>95250</xdr:colOff>
      <xdr:row>2</xdr:row>
      <xdr:rowOff>742950</xdr:rowOff>
    </xdr:to>
    <xdr:sp>
      <xdr:nvSpPr>
        <xdr:cNvPr id="5" name="Rectangle 24"/>
        <xdr:cNvSpPr>
          <a:spLocks/>
        </xdr:cNvSpPr>
      </xdr:nvSpPr>
      <xdr:spPr>
        <a:xfrm>
          <a:off x="7229475" y="190500"/>
          <a:ext cx="5762625" cy="771525"/>
        </a:xfrm>
        <a:prstGeom prst="rect">
          <a:avLst/>
        </a:prstGeom>
        <a:solidFill>
          <a:srgbClr val="00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entrer les résultats dans les cases bleues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542925</xdr:colOff>
      <xdr:row>0</xdr:row>
      <xdr:rowOff>133350</xdr:rowOff>
    </xdr:from>
    <xdr:to>
      <xdr:col>23</xdr:col>
      <xdr:colOff>495300</xdr:colOff>
      <xdr:row>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13335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9525</xdr:rowOff>
    </xdr:from>
    <xdr:to>
      <xdr:col>1</xdr:col>
      <xdr:colOff>1666875</xdr:colOff>
      <xdr:row>5</xdr:row>
      <xdr:rowOff>142875</xdr:rowOff>
    </xdr:to>
    <xdr:pic>
      <xdr:nvPicPr>
        <xdr:cNvPr id="2" name="Picture 8" descr="C:\Documents and Settings\All Users\Documents\essais logos billard\blason-Rodez9 b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16764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0</xdr:rowOff>
    </xdr:from>
    <xdr:to>
      <xdr:col>5</xdr:col>
      <xdr:colOff>0</xdr:colOff>
      <xdr:row>10</xdr:row>
      <xdr:rowOff>0</xdr:rowOff>
    </xdr:to>
    <xdr:pic>
      <xdr:nvPicPr>
        <xdr:cNvPr id="3" name="Picture 10" descr="Fédération Française de Billard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2095500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485775</xdr:colOff>
      <xdr:row>0</xdr:row>
      <xdr:rowOff>0</xdr:rowOff>
    </xdr:from>
    <xdr:to>
      <xdr:col>20</xdr:col>
      <xdr:colOff>57150</xdr:colOff>
      <xdr:row>2</xdr:row>
      <xdr:rowOff>76200</xdr:rowOff>
    </xdr:to>
    <xdr:pic>
      <xdr:nvPicPr>
        <xdr:cNvPr id="4" name="Picture 12" descr="La Ligue Midi-Pyrénées de Billard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58450" y="0"/>
          <a:ext cx="1200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323850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14375" cy="809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27</xdr:col>
      <xdr:colOff>676275</xdr:colOff>
      <xdr:row>51</xdr:row>
      <xdr:rowOff>85725</xdr:rowOff>
    </xdr:from>
    <xdr:to>
      <xdr:col>29</xdr:col>
      <xdr:colOff>742950</xdr:colOff>
      <xdr:row>56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72925" y="11087100"/>
          <a:ext cx="1724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790575</xdr:colOff>
      <xdr:row>46</xdr:row>
      <xdr:rowOff>38100</xdr:rowOff>
    </xdr:from>
    <xdr:to>
      <xdr:col>30</xdr:col>
      <xdr:colOff>219075</xdr:colOff>
      <xdr:row>50</xdr:row>
      <xdr:rowOff>171450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rcRect t="9719" r="44171" b="63597"/>
        <a:stretch>
          <a:fillRect/>
        </a:stretch>
      </xdr:blipFill>
      <xdr:spPr>
        <a:xfrm>
          <a:off x="11258550" y="10086975"/>
          <a:ext cx="2743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41</xdr:row>
      <xdr:rowOff>142875</xdr:rowOff>
    </xdr:from>
    <xdr:to>
      <xdr:col>30</xdr:col>
      <xdr:colOff>190500</xdr:colOff>
      <xdr:row>45</xdr:row>
      <xdr:rowOff>76200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rcRect l="5058" t="55400" r="25126" b="15118"/>
        <a:stretch>
          <a:fillRect/>
        </a:stretch>
      </xdr:blipFill>
      <xdr:spPr>
        <a:xfrm>
          <a:off x="11296650" y="912495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314325</xdr:colOff>
      <xdr:row>0</xdr:row>
      <xdr:rowOff>28575</xdr:rowOff>
    </xdr:from>
    <xdr:to>
      <xdr:col>32</xdr:col>
      <xdr:colOff>219075</xdr:colOff>
      <xdr:row>4</xdr:row>
      <xdr:rowOff>76200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25675" y="28575"/>
          <a:ext cx="733425" cy="10572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65</xdr:row>
      <xdr:rowOff>0</xdr:rowOff>
    </xdr:from>
    <xdr:to>
      <xdr:col>2</xdr:col>
      <xdr:colOff>238125</xdr:colOff>
      <xdr:row>67</xdr:row>
      <xdr:rowOff>257175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525500"/>
          <a:ext cx="971550" cy="1085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55</xdr:row>
      <xdr:rowOff>38100</xdr:rowOff>
    </xdr:from>
    <xdr:to>
      <xdr:col>8</xdr:col>
      <xdr:colOff>161925</xdr:colOff>
      <xdr:row>60</xdr:row>
      <xdr:rowOff>152400</xdr:rowOff>
    </xdr:to>
    <xdr:pic>
      <xdr:nvPicPr>
        <xdr:cNvPr id="7" name="Picture 19" descr="secretariat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11572875"/>
          <a:ext cx="3076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uan.giron1@free.fr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6"/>
  <sheetViews>
    <sheetView showGridLines="0" tabSelected="1" showOutlineSymbols="0" zoomScale="110" zoomScaleNormal="110" zoomScalePageLayoutView="0" workbookViewId="0" topLeftCell="A1">
      <selection activeCell="C15" sqref="C15"/>
    </sheetView>
  </sheetViews>
  <sheetFormatPr defaultColWidth="9.6640625" defaultRowHeight="15"/>
  <cols>
    <col min="1" max="1" width="10.6640625" style="0" customWidth="1"/>
    <col min="2" max="2" width="14.77734375" style="0" customWidth="1"/>
    <col min="3" max="3" width="13.6640625" style="0" customWidth="1"/>
    <col min="4" max="4" width="11.10546875" style="0" customWidth="1"/>
    <col min="5" max="6" width="11.6640625" style="0" customWidth="1"/>
    <col min="7" max="7" width="6.99609375" style="0" customWidth="1"/>
    <col min="8" max="8" width="7.77734375" style="0" customWidth="1"/>
  </cols>
  <sheetData>
    <row r="1" spans="1:12" ht="15">
      <c r="A1" s="354" t="s">
        <v>32</v>
      </c>
      <c r="B1" s="355"/>
      <c r="C1" s="355"/>
      <c r="D1" s="355"/>
      <c r="E1" s="355"/>
      <c r="F1" s="355"/>
      <c r="G1" s="355"/>
      <c r="H1" s="356"/>
      <c r="I1" s="356"/>
      <c r="J1" s="255"/>
      <c r="K1" s="255"/>
      <c r="L1" s="255"/>
    </row>
    <row r="2" spans="1:12" ht="21.75" customHeight="1">
      <c r="A2" s="346"/>
      <c r="B2" s="357" t="s">
        <v>137</v>
      </c>
      <c r="C2" s="478"/>
      <c r="D2" s="479"/>
      <c r="E2" s="479"/>
      <c r="F2" s="479"/>
      <c r="G2" s="480"/>
      <c r="H2" s="347"/>
      <c r="I2" s="347"/>
      <c r="J2" s="255"/>
      <c r="K2" s="255"/>
      <c r="L2" s="255"/>
    </row>
    <row r="3" spans="1:12" ht="15.75" thickBot="1">
      <c r="A3" s="346"/>
      <c r="B3" s="357" t="s">
        <v>138</v>
      </c>
      <c r="C3" s="493" t="s">
        <v>167</v>
      </c>
      <c r="D3" s="494"/>
      <c r="E3" s="347"/>
      <c r="F3" s="346"/>
      <c r="G3" s="346"/>
      <c r="H3" s="347"/>
      <c r="I3" s="347"/>
      <c r="J3" s="255"/>
      <c r="K3" s="255"/>
      <c r="L3" s="255"/>
    </row>
    <row r="4" spans="1:12" ht="15.75">
      <c r="A4" s="346"/>
      <c r="B4" s="357" t="s">
        <v>139</v>
      </c>
      <c r="C4" s="349" t="s">
        <v>163</v>
      </c>
      <c r="D4" s="368"/>
      <c r="E4" s="484" t="s">
        <v>75</v>
      </c>
      <c r="F4" s="485"/>
      <c r="G4" s="485"/>
      <c r="H4" s="486"/>
      <c r="I4" s="347"/>
      <c r="J4" s="255"/>
      <c r="K4" s="255"/>
      <c r="L4" s="255"/>
    </row>
    <row r="5" spans="1:12" ht="15.75">
      <c r="A5" s="346"/>
      <c r="B5" s="357" t="s">
        <v>140</v>
      </c>
      <c r="C5" s="350"/>
      <c r="D5" s="368" t="s">
        <v>5</v>
      </c>
      <c r="E5" s="487" t="s">
        <v>149</v>
      </c>
      <c r="F5" s="488"/>
      <c r="G5" s="488"/>
      <c r="H5" s="489"/>
      <c r="I5" s="347"/>
      <c r="J5" s="255"/>
      <c r="K5" s="255"/>
      <c r="L5" s="255"/>
    </row>
    <row r="6" spans="1:12" ht="15.75">
      <c r="A6" s="346"/>
      <c r="B6" s="357" t="s">
        <v>141</v>
      </c>
      <c r="C6" s="349" t="s">
        <v>166</v>
      </c>
      <c r="D6" s="368"/>
      <c r="E6" s="487" t="s">
        <v>148</v>
      </c>
      <c r="F6" s="488"/>
      <c r="G6" s="488"/>
      <c r="H6" s="489"/>
      <c r="I6" s="347"/>
      <c r="J6" s="255"/>
      <c r="K6" s="255"/>
      <c r="L6" s="255"/>
    </row>
    <row r="7" spans="1:12" ht="15.75">
      <c r="A7" s="346"/>
      <c r="B7" s="357" t="s">
        <v>142</v>
      </c>
      <c r="C7" s="493" t="s">
        <v>164</v>
      </c>
      <c r="D7" s="494"/>
      <c r="E7" s="487" t="s">
        <v>80</v>
      </c>
      <c r="F7" s="488"/>
      <c r="G7" s="488"/>
      <c r="H7" s="489"/>
      <c r="I7" s="347"/>
      <c r="J7" s="255"/>
      <c r="K7" s="255"/>
      <c r="L7" s="255"/>
    </row>
    <row r="8" spans="1:12" ht="16.5" thickBot="1">
      <c r="A8" s="346"/>
      <c r="B8" s="357" t="s">
        <v>143</v>
      </c>
      <c r="C8" s="349" t="s">
        <v>165</v>
      </c>
      <c r="D8" s="368"/>
      <c r="E8" s="481" t="s">
        <v>76</v>
      </c>
      <c r="F8" s="482"/>
      <c r="G8" s="482"/>
      <c r="H8" s="483"/>
      <c r="I8" s="347"/>
      <c r="J8" s="255"/>
      <c r="K8" s="255"/>
      <c r="L8" s="255"/>
    </row>
    <row r="9" spans="1:12" ht="15">
      <c r="A9" s="346"/>
      <c r="B9" s="357" t="s">
        <v>144</v>
      </c>
      <c r="C9" s="351"/>
      <c r="D9" s="368"/>
      <c r="E9" s="490" t="s">
        <v>83</v>
      </c>
      <c r="F9" s="491"/>
      <c r="G9" s="491"/>
      <c r="H9" s="492"/>
      <c r="I9" s="347"/>
      <c r="J9" s="255"/>
      <c r="K9" s="255"/>
      <c r="L9" s="255"/>
    </row>
    <row r="10" spans="1:12" ht="15">
      <c r="A10" s="346"/>
      <c r="B10" s="357" t="s">
        <v>158</v>
      </c>
      <c r="C10" s="351"/>
      <c r="D10" s="368"/>
      <c r="E10" s="385"/>
      <c r="F10" s="386"/>
      <c r="G10" s="386"/>
      <c r="H10" s="387"/>
      <c r="I10" s="347"/>
      <c r="J10" s="255"/>
      <c r="K10" s="255"/>
      <c r="L10" s="255"/>
    </row>
    <row r="11" spans="1:12" ht="13.5" customHeight="1" thickBot="1">
      <c r="A11" s="346"/>
      <c r="B11" s="346"/>
      <c r="C11" s="346"/>
      <c r="D11" s="346"/>
      <c r="E11" s="388"/>
      <c r="F11" s="389"/>
      <c r="G11" s="389"/>
      <c r="H11" s="390"/>
      <c r="I11" s="347"/>
      <c r="J11" s="255"/>
      <c r="K11" s="255"/>
      <c r="L11" s="255"/>
    </row>
    <row r="12" spans="1:12" ht="32.25" thickBot="1">
      <c r="A12" s="394" t="s">
        <v>154</v>
      </c>
      <c r="B12" s="391" t="s">
        <v>0</v>
      </c>
      <c r="C12" s="392" t="s">
        <v>1</v>
      </c>
      <c r="D12" s="392" t="s">
        <v>2</v>
      </c>
      <c r="E12" s="393" t="s">
        <v>3</v>
      </c>
      <c r="F12" s="402" t="s">
        <v>4</v>
      </c>
      <c r="G12" s="348"/>
      <c r="H12" s="347"/>
      <c r="I12" s="347"/>
      <c r="J12" s="255"/>
      <c r="K12" s="255"/>
      <c r="L12" s="255"/>
    </row>
    <row r="13" spans="1:12" ht="19.5" customHeight="1">
      <c r="A13" s="381">
        <v>1</v>
      </c>
      <c r="B13" s="382"/>
      <c r="C13" s="383"/>
      <c r="D13" s="383"/>
      <c r="E13" s="396"/>
      <c r="F13" s="413"/>
      <c r="G13" s="352">
        <f aca="true" t="shared" si="0" ref="G13:G18">A13</f>
        <v>1</v>
      </c>
      <c r="H13" s="347"/>
      <c r="I13" s="347"/>
      <c r="J13" s="255"/>
      <c r="K13" s="255"/>
      <c r="L13" s="255"/>
    </row>
    <row r="14" spans="1:12" ht="19.5" customHeight="1">
      <c r="A14" s="377">
        <v>2</v>
      </c>
      <c r="B14" s="375"/>
      <c r="C14" s="216"/>
      <c r="D14" s="214"/>
      <c r="E14" s="397"/>
      <c r="F14" s="414"/>
      <c r="G14" s="352">
        <f t="shared" si="0"/>
        <v>2</v>
      </c>
      <c r="H14" s="347"/>
      <c r="I14" s="347"/>
      <c r="J14" s="255"/>
      <c r="K14" s="255"/>
      <c r="L14" s="255"/>
    </row>
    <row r="15" spans="1:12" ht="19.5" customHeight="1">
      <c r="A15" s="377">
        <v>3</v>
      </c>
      <c r="B15" s="375"/>
      <c r="C15" s="216"/>
      <c r="D15" s="214"/>
      <c r="E15" s="397"/>
      <c r="F15" s="414"/>
      <c r="G15" s="352">
        <f t="shared" si="0"/>
        <v>3</v>
      </c>
      <c r="H15" s="347"/>
      <c r="I15" s="347"/>
      <c r="J15" s="255"/>
      <c r="K15" s="255"/>
      <c r="L15" s="255"/>
    </row>
    <row r="16" spans="1:12" ht="19.5" customHeight="1">
      <c r="A16" s="378">
        <v>4</v>
      </c>
      <c r="B16" s="375"/>
      <c r="C16" s="401"/>
      <c r="D16" s="215"/>
      <c r="E16" s="398"/>
      <c r="F16" s="415"/>
      <c r="G16" s="352">
        <f t="shared" si="0"/>
        <v>4</v>
      </c>
      <c r="H16" s="347"/>
      <c r="I16" s="347"/>
      <c r="J16" s="255"/>
      <c r="K16" s="255"/>
      <c r="L16" s="255"/>
    </row>
    <row r="17" spans="1:12" ht="19.5" customHeight="1">
      <c r="A17" s="379">
        <v>5</v>
      </c>
      <c r="B17" s="375"/>
      <c r="C17" s="214"/>
      <c r="D17" s="214"/>
      <c r="E17" s="397"/>
      <c r="F17" s="414"/>
      <c r="G17" s="352">
        <f t="shared" si="0"/>
        <v>5</v>
      </c>
      <c r="H17" s="347"/>
      <c r="I17" s="347"/>
      <c r="J17" s="255"/>
      <c r="K17" s="255"/>
      <c r="L17" s="255"/>
    </row>
    <row r="18" spans="1:12" ht="19.5" customHeight="1" thickBot="1">
      <c r="A18" s="380">
        <v>6</v>
      </c>
      <c r="B18" s="376"/>
      <c r="C18" s="400"/>
      <c r="D18" s="217"/>
      <c r="E18" s="399"/>
      <c r="F18" s="416"/>
      <c r="G18" s="352">
        <f t="shared" si="0"/>
        <v>6</v>
      </c>
      <c r="H18" s="347"/>
      <c r="I18" s="347"/>
      <c r="J18" s="255"/>
      <c r="K18" s="255"/>
      <c r="L18" s="255"/>
    </row>
    <row r="19" spans="1:12" ht="6.75" customHeight="1" thickBot="1">
      <c r="A19" s="347"/>
      <c r="B19" s="347"/>
      <c r="C19" s="347"/>
      <c r="D19" s="347"/>
      <c r="E19" s="347"/>
      <c r="F19" s="347"/>
      <c r="G19" s="347"/>
      <c r="H19" s="347"/>
      <c r="I19" s="347"/>
      <c r="J19" s="255"/>
      <c r="K19" s="255"/>
      <c r="L19" s="255"/>
    </row>
    <row r="20" spans="1:12" ht="34.5" thickBot="1">
      <c r="A20" s="374">
        <f>SUM(A13:A18)</f>
        <v>21</v>
      </c>
      <c r="B20" s="475" t="s">
        <v>82</v>
      </c>
      <c r="C20" s="476"/>
      <c r="D20" s="476"/>
      <c r="E20" s="476"/>
      <c r="F20" s="476"/>
      <c r="G20" s="477"/>
      <c r="H20" s="347"/>
      <c r="I20" s="347"/>
      <c r="J20" s="255"/>
      <c r="K20" s="255"/>
      <c r="L20" s="255"/>
    </row>
    <row r="21" spans="1:12" ht="15">
      <c r="A21" s="347"/>
      <c r="B21" s="347"/>
      <c r="C21" s="347"/>
      <c r="D21" s="347"/>
      <c r="E21" s="347"/>
      <c r="F21" s="347"/>
      <c r="G21" s="347"/>
      <c r="H21" s="347"/>
      <c r="I21" s="347"/>
      <c r="J21" s="255"/>
      <c r="K21" s="255"/>
      <c r="L21" s="255"/>
    </row>
    <row r="22" spans="1:12" ht="15">
      <c r="A22" s="347"/>
      <c r="B22" s="347"/>
      <c r="C22" s="347"/>
      <c r="D22" s="347"/>
      <c r="E22" s="347"/>
      <c r="F22" s="347"/>
      <c r="G22" s="347"/>
      <c r="H22" s="347"/>
      <c r="I22" s="347"/>
      <c r="J22" s="255"/>
      <c r="K22" s="255"/>
      <c r="L22" s="255"/>
    </row>
    <row r="23" spans="1:12" ht="15">
      <c r="A23" s="347"/>
      <c r="B23" s="347"/>
      <c r="C23" s="347"/>
      <c r="D23" s="347"/>
      <c r="E23" s="347"/>
      <c r="F23" s="347"/>
      <c r="G23" s="347"/>
      <c r="H23" s="347"/>
      <c r="I23" s="347"/>
      <c r="J23" s="255"/>
      <c r="K23" s="255"/>
      <c r="L23" s="255"/>
    </row>
    <row r="24" spans="1:12" ht="15">
      <c r="A24" s="347"/>
      <c r="B24" s="347"/>
      <c r="C24" s="347"/>
      <c r="D24" s="347"/>
      <c r="E24" s="347"/>
      <c r="F24" s="347"/>
      <c r="G24" s="347"/>
      <c r="H24" s="347"/>
      <c r="I24" s="347"/>
      <c r="J24" s="255"/>
      <c r="K24" s="255"/>
      <c r="L24" s="255"/>
    </row>
    <row r="25" spans="1:9" ht="15">
      <c r="A25" s="347"/>
      <c r="B25" s="347"/>
      <c r="C25" s="347"/>
      <c r="D25" s="347"/>
      <c r="E25" s="347"/>
      <c r="F25" s="347"/>
      <c r="G25" s="347"/>
      <c r="H25" s="347"/>
      <c r="I25" s="347"/>
    </row>
    <row r="26" spans="1:9" ht="15">
      <c r="A26" s="347"/>
      <c r="B26" s="347"/>
      <c r="C26" s="347"/>
      <c r="D26" s="347"/>
      <c r="E26" s="347"/>
      <c r="F26" s="347"/>
      <c r="G26" s="347"/>
      <c r="H26" s="347"/>
      <c r="I26" s="347"/>
    </row>
  </sheetData>
  <sheetProtection/>
  <mergeCells count="10">
    <mergeCell ref="B20:G20"/>
    <mergeCell ref="C2:G2"/>
    <mergeCell ref="E8:H8"/>
    <mergeCell ref="E4:H4"/>
    <mergeCell ref="E5:H5"/>
    <mergeCell ref="E6:H6"/>
    <mergeCell ref="E7:H7"/>
    <mergeCell ref="E9:H9"/>
    <mergeCell ref="C3:D3"/>
    <mergeCell ref="C7:D7"/>
  </mergeCells>
  <dataValidations count="6">
    <dataValidation type="list" allowBlank="1" showInputMessage="1" showErrorMessage="1" sqref="C4">
      <formula1>"2m80,3m10,1m20"</formula1>
    </dataValidation>
    <dataValidation type="list" allowBlank="1" showInputMessage="1" showErrorMessage="1" sqref="C6">
      <formula1>"BOUCHON,3 BANDES,LIBRE,CADRE 42/2,CADRE 47/2,BANDE"</formula1>
    </dataValidation>
    <dataValidation type="list" allowBlank="1" showInputMessage="1" showErrorMessage="1" sqref="C8">
      <formula1>"ROUSSE ou BLONDE,A,B,C,D,UNIQUE"</formula1>
    </dataValidation>
    <dataValidation type="list" allowBlank="1" showInputMessage="1" showErrorMessage="1" sqref="A13:A18">
      <formula1>"1,2,3,4,5,6"</formula1>
    </dataValidation>
    <dataValidation type="list" allowBlank="1" showInputMessage="1" showErrorMessage="1" sqref="C3:D3">
      <formula1>"NATIONALE 1,NATIONALE 2,NATIONALE 3,REGIONALE 1,REGIONALE 2,REGIONALE 3,REGIONALE 4,HANDICAP"</formula1>
    </dataValidation>
    <dataValidation type="list" allowBlank="1" showInputMessage="1" showErrorMessage="1" sqref="C7:D7">
      <formula1>"DU QUARTIER,RANKING,TOURNOI,CLASSEMENT,SOUS-DISTRICT,DISTRICT,DEMI-LIGUE,LIGUE,SECTEUR"</formula1>
    </dataValidation>
  </dataValidations>
  <printOptions horizontalCentered="1" verticalCentered="1"/>
  <pageMargins left="0.12569444444444444" right="0.45902777777777776" top="0.15694444444444444" bottom="0.4583333333333333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Y87"/>
  <sheetViews>
    <sheetView showGridLines="0" showOutlineSymbols="0" zoomScale="48" zoomScaleNormal="48" zoomScalePageLayoutView="0" workbookViewId="0" topLeftCell="A1">
      <pane ySplit="4" topLeftCell="A5" activePane="bottomLeft" state="frozen"/>
      <selection pane="topLeft" activeCell="A1" sqref="A1"/>
      <selection pane="bottomLeft" activeCell="M8" sqref="M8"/>
    </sheetView>
  </sheetViews>
  <sheetFormatPr defaultColWidth="9.6640625" defaultRowHeight="15"/>
  <cols>
    <col min="1" max="1" width="2.88671875" style="0" customWidth="1"/>
    <col min="2" max="9" width="7.6640625" style="0" customWidth="1"/>
    <col min="10" max="10" width="8.77734375" style="0" customWidth="1"/>
    <col min="11" max="11" width="4.6640625" style="0" customWidth="1"/>
    <col min="12" max="19" width="7.6640625" style="0" customWidth="1"/>
    <col min="20" max="20" width="8.77734375" style="0" customWidth="1"/>
    <col min="21" max="21" width="2.6640625" style="0" customWidth="1"/>
    <col min="22" max="22" width="2.88671875" style="0" customWidth="1"/>
    <col min="23" max="30" width="7.6640625" style="0" customWidth="1"/>
    <col min="31" max="31" width="8.77734375" style="0" customWidth="1"/>
    <col min="32" max="32" width="2.6640625" style="0" customWidth="1"/>
    <col min="33" max="33" width="7.3359375" style="0" bestFit="1" customWidth="1"/>
    <col min="34" max="34" width="5.6640625" style="0" bestFit="1" customWidth="1"/>
    <col min="35" max="35" width="12.99609375" style="0" bestFit="1" customWidth="1"/>
    <col min="36" max="36" width="5.6640625" style="0" bestFit="1" customWidth="1"/>
    <col min="37" max="37" width="3.77734375" style="0" bestFit="1" customWidth="1"/>
    <col min="38" max="38" width="5.10546875" style="0" bestFit="1" customWidth="1"/>
    <col min="39" max="39" width="6.5546875" style="0" bestFit="1" customWidth="1"/>
    <col min="40" max="40" width="12.99609375" style="0" bestFit="1" customWidth="1"/>
    <col min="41" max="41" width="7.3359375" style="0" bestFit="1" customWidth="1"/>
    <col min="42" max="42" width="4.5546875" style="0" bestFit="1" customWidth="1"/>
    <col min="43" max="43" width="3.21484375" style="0" bestFit="1" customWidth="1"/>
    <col min="44" max="44" width="6.10546875" style="0" bestFit="1" customWidth="1"/>
    <col min="45" max="45" width="13.6640625" style="0" bestFit="1" customWidth="1"/>
    <col min="46" max="46" width="6.5546875" style="0" bestFit="1" customWidth="1"/>
    <col min="47" max="47" width="8.6640625" style="0" bestFit="1" customWidth="1"/>
    <col min="48" max="48" width="5.21484375" style="0" bestFit="1" customWidth="1"/>
    <col min="49" max="49" width="6.99609375" style="0" bestFit="1" customWidth="1"/>
    <col min="50" max="50" width="13.6640625" style="0" bestFit="1" customWidth="1"/>
    <col min="51" max="51" width="3.21484375" style="0" bestFit="1" customWidth="1"/>
  </cols>
  <sheetData>
    <row r="1" spans="1:42" ht="9" customHeight="1">
      <c r="A1" s="180"/>
      <c r="B1" s="181"/>
      <c r="C1" s="181"/>
      <c r="D1" s="181">
        <v>1</v>
      </c>
      <c r="E1" s="181"/>
      <c r="F1" s="181"/>
      <c r="G1" s="181">
        <v>2</v>
      </c>
      <c r="H1" s="181"/>
      <c r="I1" s="181"/>
      <c r="J1" s="181"/>
      <c r="K1" s="181">
        <v>3</v>
      </c>
      <c r="L1" s="182"/>
      <c r="M1" s="182"/>
      <c r="N1" s="182"/>
      <c r="O1" s="182">
        <v>4</v>
      </c>
      <c r="P1" s="182"/>
      <c r="Q1" s="182"/>
      <c r="R1" s="182"/>
      <c r="S1" s="182">
        <v>5</v>
      </c>
      <c r="T1" s="182"/>
      <c r="U1" s="183"/>
      <c r="V1" s="180"/>
      <c r="W1" s="181"/>
      <c r="X1" s="181">
        <v>6</v>
      </c>
      <c r="Y1" s="181"/>
      <c r="Z1" s="181"/>
      <c r="AA1" s="181"/>
      <c r="AB1" s="181"/>
      <c r="AC1" s="181"/>
      <c r="AD1" s="181"/>
      <c r="AE1" s="181"/>
      <c r="AF1" s="181"/>
      <c r="AG1" s="182"/>
      <c r="AH1" s="182"/>
      <c r="AI1" s="182"/>
      <c r="AJ1" s="182"/>
      <c r="AK1" s="182"/>
      <c r="AL1" s="182"/>
      <c r="AM1" s="182"/>
      <c r="AN1" s="182"/>
      <c r="AO1" s="182"/>
      <c r="AP1" s="183"/>
    </row>
    <row r="2" spans="1:42" ht="8.25" customHeight="1" thickBo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  <c r="M2" s="186"/>
      <c r="N2" s="186"/>
      <c r="O2" s="186"/>
      <c r="P2" s="186"/>
      <c r="Q2" s="186"/>
      <c r="R2" s="186"/>
      <c r="S2" s="186"/>
      <c r="T2" s="186"/>
      <c r="U2" s="187"/>
      <c r="V2" s="184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6"/>
      <c r="AH2" s="186"/>
      <c r="AI2" s="186"/>
      <c r="AJ2" s="186"/>
      <c r="AK2" s="186"/>
      <c r="AL2" s="186"/>
      <c r="AM2" s="186"/>
      <c r="AN2" s="186"/>
      <c r="AO2" s="186"/>
      <c r="AP2" s="187"/>
    </row>
    <row r="3" spans="1:31" ht="59.25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3"/>
    </row>
    <row r="4" spans="1:31" ht="24.75" customHeight="1" thickBot="1">
      <c r="A4" s="194"/>
      <c r="B4" s="195"/>
      <c r="C4" s="196" t="s">
        <v>73</v>
      </c>
      <c r="D4" s="197"/>
      <c r="E4" s="195"/>
      <c r="F4" s="195"/>
      <c r="G4" s="195"/>
      <c r="H4" s="195"/>
      <c r="I4" s="195"/>
      <c r="J4" s="195"/>
      <c r="K4" s="195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8"/>
    </row>
    <row r="5" spans="1:31" ht="32.25" customHeight="1">
      <c r="A5" s="501" t="s">
        <v>72</v>
      </c>
      <c r="B5" s="502"/>
      <c r="C5" s="188"/>
      <c r="D5" s="189" t="s">
        <v>71</v>
      </c>
      <c r="E5" s="162"/>
      <c r="F5" s="161"/>
      <c r="G5" s="162"/>
      <c r="H5" s="162"/>
      <c r="I5" s="161"/>
      <c r="J5" s="229"/>
      <c r="K5" s="229"/>
      <c r="L5" s="227"/>
      <c r="M5" s="162"/>
      <c r="N5" s="162"/>
      <c r="O5" s="162"/>
      <c r="P5" s="162"/>
      <c r="Q5" s="162"/>
      <c r="R5" s="162"/>
      <c r="S5" s="162"/>
      <c r="T5" s="230"/>
      <c r="U5" s="230"/>
      <c r="V5" s="227"/>
      <c r="W5" s="227"/>
      <c r="X5" s="227"/>
      <c r="Y5" s="227"/>
      <c r="Z5" s="227"/>
      <c r="AA5" s="227"/>
      <c r="AB5" s="227"/>
      <c r="AC5" s="228"/>
      <c r="AD5" s="501" t="s">
        <v>72</v>
      </c>
      <c r="AE5" s="502"/>
    </row>
    <row r="6" spans="1:31" ht="24.75" customHeight="1">
      <c r="A6" s="503"/>
      <c r="B6" s="504"/>
      <c r="C6" s="159"/>
      <c r="D6" s="160">
        <f>VLOOKUP(D1,origine,2,FALSE)</f>
        <v>0</v>
      </c>
      <c r="E6" s="161"/>
      <c r="F6" s="162"/>
      <c r="G6" s="160">
        <f>VLOOKUP(G1,origine,2,FALSE)</f>
        <v>0</v>
      </c>
      <c r="H6" s="161"/>
      <c r="I6" s="162"/>
      <c r="J6" s="162"/>
      <c r="K6" s="160">
        <f>VLOOKUP(K1,origine,2,FALSE)</f>
        <v>0</v>
      </c>
      <c r="L6" s="162"/>
      <c r="M6" s="162"/>
      <c r="N6" s="162"/>
      <c r="O6" s="160">
        <f>VLOOKUP(O1,origine,2,FALSE)</f>
        <v>0</v>
      </c>
      <c r="P6" s="162"/>
      <c r="Q6" s="162"/>
      <c r="R6" s="162"/>
      <c r="S6" s="160">
        <f>VLOOKUP(S1,origine,2,FALSE)</f>
        <v>0</v>
      </c>
      <c r="T6" s="231"/>
      <c r="U6" s="231"/>
      <c r="V6" s="162"/>
      <c r="W6" s="162"/>
      <c r="X6" s="160">
        <f>VLOOKUP(X1,origine,2,FALSE)</f>
        <v>0</v>
      </c>
      <c r="Y6" s="162"/>
      <c r="Z6" s="162"/>
      <c r="AA6" s="162"/>
      <c r="AB6" s="162"/>
      <c r="AC6" s="74"/>
      <c r="AD6" s="503"/>
      <c r="AE6" s="504"/>
    </row>
    <row r="7" spans="1:51" ht="36" customHeight="1" thickBot="1">
      <c r="A7" s="505"/>
      <c r="B7" s="506"/>
      <c r="C7" s="163"/>
      <c r="D7" s="164"/>
      <c r="E7" s="165"/>
      <c r="F7" s="165"/>
      <c r="G7" s="165"/>
      <c r="H7" s="165"/>
      <c r="I7" s="165"/>
      <c r="J7" s="164"/>
      <c r="K7" s="165"/>
      <c r="L7" s="164"/>
      <c r="M7" s="164"/>
      <c r="N7" s="164"/>
      <c r="O7" s="164"/>
      <c r="P7" s="164"/>
      <c r="Q7" s="164"/>
      <c r="R7" s="164"/>
      <c r="S7" s="164"/>
      <c r="T7" s="232"/>
      <c r="U7" s="232"/>
      <c r="V7" s="164"/>
      <c r="W7" s="164"/>
      <c r="X7" s="164"/>
      <c r="Y7" s="164"/>
      <c r="Z7" s="164"/>
      <c r="AA7" s="164"/>
      <c r="AB7" s="164"/>
      <c r="AC7" s="166"/>
      <c r="AD7" s="505"/>
      <c r="AE7" s="506"/>
      <c r="AG7" s="500" t="s">
        <v>58</v>
      </c>
      <c r="AH7" s="500"/>
      <c r="AI7" s="500"/>
      <c r="AJ7" s="500"/>
      <c r="AK7" s="500"/>
      <c r="AL7" s="500"/>
      <c r="AM7" s="500"/>
      <c r="AN7" s="500"/>
      <c r="AO7" s="500"/>
      <c r="AP7" s="500" t="s">
        <v>74</v>
      </c>
      <c r="AQ7" s="500"/>
      <c r="AR7" s="500"/>
      <c r="AS7" s="500"/>
      <c r="AT7" s="500"/>
      <c r="AU7" s="500"/>
      <c r="AV7" s="500"/>
      <c r="AW7" s="500"/>
      <c r="AX7" s="500"/>
      <c r="AY7" s="500"/>
    </row>
    <row r="8" spans="1:33" ht="37.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AG8" s="256"/>
    </row>
    <row r="9" spans="1:33" ht="1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AG9" s="256"/>
    </row>
    <row r="10" spans="1:51" ht="28.5" customHeight="1" thickBot="1">
      <c r="A10" s="1">
        <v>1</v>
      </c>
      <c r="B10" s="32"/>
      <c r="C10" s="47" t="s">
        <v>35</v>
      </c>
      <c r="D10" s="33"/>
      <c r="E10" s="33"/>
      <c r="F10" s="47" t="s">
        <v>41</v>
      </c>
      <c r="G10" s="33"/>
      <c r="H10" s="223"/>
      <c r="I10" s="47" t="s">
        <v>51</v>
      </c>
      <c r="J10" s="34"/>
      <c r="K10" s="209">
        <v>2</v>
      </c>
      <c r="L10" s="337"/>
      <c r="M10" s="338" t="s">
        <v>35</v>
      </c>
      <c r="N10" s="339"/>
      <c r="O10" s="339"/>
      <c r="P10" s="338" t="s">
        <v>43</v>
      </c>
      <c r="Q10" s="339"/>
      <c r="R10" s="340"/>
      <c r="S10" s="338" t="s">
        <v>36</v>
      </c>
      <c r="T10" s="339"/>
      <c r="U10" s="370"/>
      <c r="V10">
        <v>3</v>
      </c>
      <c r="W10" s="32"/>
      <c r="X10" s="47" t="s">
        <v>35</v>
      </c>
      <c r="Y10" s="33"/>
      <c r="Z10" s="33"/>
      <c r="AA10" s="47" t="s">
        <v>42</v>
      </c>
      <c r="AB10" s="33"/>
      <c r="AC10" s="223"/>
      <c r="AD10" s="47" t="s">
        <v>78</v>
      </c>
      <c r="AE10" s="34"/>
      <c r="AF10" s="370"/>
      <c r="AG10" s="256" t="s">
        <v>18</v>
      </c>
      <c r="AH10" s="63" t="s">
        <v>52</v>
      </c>
      <c r="AI10" s="63" t="s">
        <v>53</v>
      </c>
      <c r="AJ10" s="63" t="s">
        <v>5</v>
      </c>
      <c r="AK10" s="63" t="s">
        <v>54</v>
      </c>
      <c r="AL10" s="63" t="s">
        <v>6</v>
      </c>
      <c r="AM10" s="63" t="s">
        <v>55</v>
      </c>
      <c r="AN10" s="63" t="s">
        <v>56</v>
      </c>
      <c r="AO10" s="74" t="s">
        <v>18</v>
      </c>
      <c r="AP10" s="72" t="s">
        <v>57</v>
      </c>
      <c r="AQ10" s="63" t="s">
        <v>18</v>
      </c>
      <c r="AR10" s="63" t="s">
        <v>52</v>
      </c>
      <c r="AS10" s="63" t="s">
        <v>53</v>
      </c>
      <c r="AT10" s="63" t="s">
        <v>5</v>
      </c>
      <c r="AU10" s="63" t="s">
        <v>54</v>
      </c>
      <c r="AV10" s="63" t="s">
        <v>6</v>
      </c>
      <c r="AW10" s="63" t="s">
        <v>55</v>
      </c>
      <c r="AX10" s="63" t="s">
        <v>56</v>
      </c>
      <c r="AY10" s="63" t="s">
        <v>18</v>
      </c>
    </row>
    <row r="11" spans="1:51" ht="33" customHeight="1">
      <c r="A11" s="71">
        <v>2</v>
      </c>
      <c r="B11" s="495">
        <f>VLOOKUP(A11,origine,2,FALSE)</f>
        <v>0</v>
      </c>
      <c r="C11" s="496"/>
      <c r="D11" s="496"/>
      <c r="E11" s="496"/>
      <c r="F11" s="44"/>
      <c r="G11" s="495">
        <f>VLOOKUP(A12,origine,2,FALSE)</f>
        <v>0</v>
      </c>
      <c r="H11" s="496"/>
      <c r="I11" s="496"/>
      <c r="J11" s="496"/>
      <c r="K11" s="369">
        <v>1</v>
      </c>
      <c r="L11" s="495">
        <f>VLOOKUP(K11,origine,2,FALSE)</f>
        <v>0</v>
      </c>
      <c r="M11" s="496"/>
      <c r="N11" s="496"/>
      <c r="O11" s="496"/>
      <c r="P11" s="44"/>
      <c r="Q11" s="495">
        <f>VLOOKUP(K12,origine,2,FALSE)</f>
        <v>0</v>
      </c>
      <c r="R11" s="496"/>
      <c r="S11" s="496"/>
      <c r="T11" s="496"/>
      <c r="U11" s="370"/>
      <c r="V11">
        <v>3</v>
      </c>
      <c r="W11" s="495">
        <f>VLOOKUP(V11,origine,2,FALSE)</f>
        <v>0</v>
      </c>
      <c r="X11" s="496"/>
      <c r="Y11" s="496"/>
      <c r="Z11" s="496"/>
      <c r="AA11" s="44"/>
      <c r="AB11" s="495">
        <f>VLOOKUP(V12,origine,2,FALSE)</f>
        <v>0</v>
      </c>
      <c r="AC11" s="496"/>
      <c r="AD11" s="496"/>
      <c r="AE11" s="496"/>
      <c r="AF11" s="370"/>
      <c r="AG11" s="257" t="e">
        <f>VLOOKUP(AI11,init6,6,FALSE)</f>
        <v>#N/A</v>
      </c>
      <c r="AH11" s="64">
        <v>1</v>
      </c>
      <c r="AI11" s="65">
        <f>$B$11</f>
        <v>0</v>
      </c>
      <c r="AJ11" s="64">
        <f>$B$13</f>
        <v>0</v>
      </c>
      <c r="AK11" s="64">
        <f>$F$13</f>
        <v>0</v>
      </c>
      <c r="AL11" s="64">
        <f>$D$13</f>
        <v>0</v>
      </c>
      <c r="AM11" s="66">
        <f>$E$13</f>
      </c>
      <c r="AN11" s="65">
        <f>$G$11</f>
        <v>0</v>
      </c>
      <c r="AO11" s="75" t="e">
        <f>VLOOKUP(AN11,init6,6,FALSE)</f>
        <v>#N/A</v>
      </c>
      <c r="AP11" s="233" t="e">
        <f>AQ11&amp;1</f>
        <v>#N/A</v>
      </c>
      <c r="AQ11" s="234" t="e">
        <f aca="true" t="shared" si="0" ref="AQ11:AQ40">VLOOKUP(AS11,init6,6,FALSE)</f>
        <v>#N/A</v>
      </c>
      <c r="AR11" s="235">
        <f>$K$10</f>
        <v>2</v>
      </c>
      <c r="AS11" s="236">
        <f>$L$11</f>
        <v>0</v>
      </c>
      <c r="AT11" s="235">
        <f>IF($L$13=0,"",$L$13)</f>
      </c>
      <c r="AU11" s="235">
        <f>IF($P$13=0,"",$P$13)</f>
      </c>
      <c r="AV11" s="235">
        <f>IF($N$13=0,"",$N$13)</f>
      </c>
      <c r="AW11" s="237">
        <f>$O$13</f>
      </c>
      <c r="AX11" s="236">
        <f>$Q$11</f>
        <v>0</v>
      </c>
      <c r="AY11" s="238" t="e">
        <f aca="true" t="shared" si="1" ref="AY11:AY40">VLOOKUP(AX11,init6,6,FALSE)</f>
        <v>#N/A</v>
      </c>
    </row>
    <row r="12" spans="1:51" ht="25.5" customHeight="1">
      <c r="A12" s="1">
        <v>4</v>
      </c>
      <c r="B12" s="8" t="s">
        <v>5</v>
      </c>
      <c r="C12" s="9" t="s">
        <v>4</v>
      </c>
      <c r="D12" s="10" t="s">
        <v>6</v>
      </c>
      <c r="E12" s="10" t="s">
        <v>7</v>
      </c>
      <c r="F12" s="12" t="s">
        <v>8</v>
      </c>
      <c r="G12" s="10" t="s">
        <v>5</v>
      </c>
      <c r="H12" s="9" t="s">
        <v>4</v>
      </c>
      <c r="I12" s="10" t="s">
        <v>6</v>
      </c>
      <c r="J12" s="11" t="s">
        <v>7</v>
      </c>
      <c r="K12" s="369">
        <v>6</v>
      </c>
      <c r="L12" s="336" t="s">
        <v>5</v>
      </c>
      <c r="M12" s="14" t="s">
        <v>4</v>
      </c>
      <c r="N12" s="10" t="s">
        <v>6</v>
      </c>
      <c r="O12" s="11" t="s">
        <v>7</v>
      </c>
      <c r="P12" s="12" t="s">
        <v>8</v>
      </c>
      <c r="Q12" s="8" t="s">
        <v>5</v>
      </c>
      <c r="R12" s="14" t="s">
        <v>4</v>
      </c>
      <c r="S12" s="10" t="s">
        <v>6</v>
      </c>
      <c r="T12" s="10" t="s">
        <v>7</v>
      </c>
      <c r="U12" s="370"/>
      <c r="V12">
        <v>5</v>
      </c>
      <c r="W12" s="8" t="s">
        <v>5</v>
      </c>
      <c r="X12" s="14" t="s">
        <v>4</v>
      </c>
      <c r="Y12" s="10" t="s">
        <v>6</v>
      </c>
      <c r="Z12" s="10" t="s">
        <v>7</v>
      </c>
      <c r="AA12" s="12" t="s">
        <v>8</v>
      </c>
      <c r="AB12" s="10" t="s">
        <v>5</v>
      </c>
      <c r="AC12" s="14" t="s">
        <v>4</v>
      </c>
      <c r="AD12" s="10" t="s">
        <v>6</v>
      </c>
      <c r="AE12" s="11" t="s">
        <v>7</v>
      </c>
      <c r="AF12" s="370"/>
      <c r="AG12" s="257" t="e">
        <f aca="true" t="shared" si="2" ref="AG12:AG40">VLOOKUP(AI12,init6,6,FALSE)</f>
        <v>#N/A</v>
      </c>
      <c r="AH12" s="64">
        <v>2</v>
      </c>
      <c r="AI12" s="65">
        <f>$L$11</f>
        <v>0</v>
      </c>
      <c r="AJ12" s="64">
        <f>$L$13</f>
        <v>0</v>
      </c>
      <c r="AK12" s="64">
        <f>$P$13</f>
        <v>0</v>
      </c>
      <c r="AL12" s="64">
        <f>$N$13</f>
        <v>0</v>
      </c>
      <c r="AM12" s="66">
        <f>$O$13</f>
      </c>
      <c r="AN12" s="65">
        <f>$Q$11</f>
        <v>0</v>
      </c>
      <c r="AO12" s="75" t="e">
        <f aca="true" t="shared" si="3" ref="AO12:AO40">VLOOKUP(AN12,init6,6,FALSE)</f>
        <v>#N/A</v>
      </c>
      <c r="AP12" s="239" t="e">
        <f>AQ12&amp;2</f>
        <v>#N/A</v>
      </c>
      <c r="AQ12" s="67" t="e">
        <f t="shared" si="0"/>
        <v>#N/A</v>
      </c>
      <c r="AR12" s="68">
        <f>$A$17</f>
        <v>4</v>
      </c>
      <c r="AS12" s="69">
        <f>$B$18</f>
        <v>0</v>
      </c>
      <c r="AT12" s="68">
        <f>IF($B$20=0,"",$B$20)</f>
      </c>
      <c r="AU12" s="68">
        <f>IF($F$20=0,"",$F$20)</f>
      </c>
      <c r="AV12" s="68">
        <f>IF($D$20=0,"",$D$20)</f>
      </c>
      <c r="AW12" s="70">
        <f>$E$20</f>
      </c>
      <c r="AX12" s="69">
        <f>$G$18</f>
        <v>0</v>
      </c>
      <c r="AY12" s="75" t="e">
        <f t="shared" si="1"/>
        <v>#N/A</v>
      </c>
    </row>
    <row r="13" spans="1:51" ht="33.75" customHeight="1" thickBot="1">
      <c r="A13" s="1"/>
      <c r="B13" s="403"/>
      <c r="C13" s="417">
        <f>IF(F13=0,"",B13/F13)</f>
      </c>
      <c r="D13" s="404"/>
      <c r="E13" s="405">
        <f>IF(F13=0,"",IF(B13&gt;G13,2,IF(B13=G13,1,0)))</f>
      </c>
      <c r="F13" s="406"/>
      <c r="G13" s="403"/>
      <c r="H13" s="417">
        <f>IF(F13=0,"",G13/F13)</f>
      </c>
      <c r="I13" s="404"/>
      <c r="J13" s="405">
        <f>IF(F13=0,"",IF(G13&gt;B13,2,IF(G13=B13,1,0)))</f>
      </c>
      <c r="K13" s="407"/>
      <c r="L13" s="403"/>
      <c r="M13" s="417">
        <f>IF(P13=0,"",L13/P13)</f>
      </c>
      <c r="N13" s="404"/>
      <c r="O13" s="405">
        <f>IF(P13=0,"",IF(L13&gt;Q13,2,IF(L13=Q13,1,0)))</f>
      </c>
      <c r="P13" s="406"/>
      <c r="Q13" s="403"/>
      <c r="R13" s="417">
        <f>IF(P13=0,"",Q13/P13)</f>
      </c>
      <c r="S13" s="404"/>
      <c r="T13" s="405">
        <f>IF(P13=0,"",IF(Q13&gt;L13,2,IF(Q13=L13,1,0)))</f>
      </c>
      <c r="U13" s="239"/>
      <c r="V13" s="87"/>
      <c r="W13" s="403"/>
      <c r="X13" s="417">
        <f>IF(AA13=0,"",W13/AA13)</f>
      </c>
      <c r="Y13" s="404"/>
      <c r="Z13" s="405">
        <f>IF(AA13=0,"",IF(W13&gt;AB13,2,IF(W13=AB13,1,0)))</f>
      </c>
      <c r="AA13" s="406"/>
      <c r="AB13" s="403"/>
      <c r="AC13" s="417">
        <f>IF(AA13=0,"",AB13/AA13)</f>
      </c>
      <c r="AD13" s="404"/>
      <c r="AE13" s="405">
        <f>IF(AA13=0,"",IF(AB13&gt;W13,2,IF(AB13=W13,1,0)))</f>
      </c>
      <c r="AF13" s="370"/>
      <c r="AG13" s="257" t="e">
        <f t="shared" si="2"/>
        <v>#N/A</v>
      </c>
      <c r="AH13" s="64">
        <v>3</v>
      </c>
      <c r="AI13" s="65">
        <f>$B$18</f>
        <v>0</v>
      </c>
      <c r="AJ13" s="64">
        <f>$B$20</f>
        <v>0</v>
      </c>
      <c r="AK13" s="64">
        <f>$F$20</f>
        <v>0</v>
      </c>
      <c r="AL13" s="64">
        <f>$D$20</f>
        <v>0</v>
      </c>
      <c r="AM13" s="66">
        <f>$E$20</f>
      </c>
      <c r="AN13" s="65">
        <f>$G$18</f>
        <v>0</v>
      </c>
      <c r="AO13" s="75" t="e">
        <f t="shared" si="3"/>
        <v>#N/A</v>
      </c>
      <c r="AP13" s="239" t="e">
        <f>AQ13&amp;3</f>
        <v>#N/A</v>
      </c>
      <c r="AQ13" s="67" t="e">
        <f t="shared" si="0"/>
        <v>#N/A</v>
      </c>
      <c r="AR13" s="68">
        <f>$V$24</f>
        <v>9</v>
      </c>
      <c r="AS13" s="69">
        <f>$W$25</f>
        <v>0</v>
      </c>
      <c r="AT13" s="68">
        <f>IF($W$27=0,"",$W$27)</f>
      </c>
      <c r="AU13" s="68">
        <f>IF($AA$27=0,"",$AA$27)</f>
      </c>
      <c r="AV13" s="68">
        <f>IF($Y$27=0,"",$Y$27)</f>
      </c>
      <c r="AW13" s="70">
        <f>$Z$27</f>
      </c>
      <c r="AX13" s="69">
        <f>$AB$25</f>
        <v>0</v>
      </c>
      <c r="AY13" s="75" t="e">
        <f t="shared" si="1"/>
        <v>#N/A</v>
      </c>
    </row>
    <row r="14" spans="1:51" ht="23.25" customHeight="1" thickBot="1">
      <c r="A14" s="1"/>
      <c r="B14" s="6"/>
      <c r="C14" s="7"/>
      <c r="D14" s="6"/>
      <c r="E14" s="6"/>
      <c r="F14" s="16"/>
      <c r="G14" s="6"/>
      <c r="H14" s="7"/>
      <c r="I14" s="6"/>
      <c r="J14" s="6"/>
      <c r="K14" s="1"/>
      <c r="P14" s="4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257" t="e">
        <f t="shared" si="2"/>
        <v>#N/A</v>
      </c>
      <c r="AH14" s="64">
        <v>4</v>
      </c>
      <c r="AI14" s="65">
        <f>$W$11</f>
        <v>0</v>
      </c>
      <c r="AJ14" s="64">
        <f>$W$13</f>
        <v>0</v>
      </c>
      <c r="AK14" s="64">
        <f>$AA$13</f>
        <v>0</v>
      </c>
      <c r="AL14" s="64">
        <f>$Y$13</f>
        <v>0</v>
      </c>
      <c r="AM14" s="66">
        <f>$Z$13</f>
      </c>
      <c r="AN14" s="65">
        <f>$AB$11</f>
        <v>0</v>
      </c>
      <c r="AO14" s="75" t="e">
        <f t="shared" si="3"/>
        <v>#N/A</v>
      </c>
      <c r="AP14" s="239" t="e">
        <f>AQ14&amp;4</f>
        <v>#N/A</v>
      </c>
      <c r="AQ14" s="67" t="e">
        <f t="shared" si="0"/>
        <v>#N/A</v>
      </c>
      <c r="AR14" s="68">
        <f>$K$31</f>
        <v>11</v>
      </c>
      <c r="AS14" s="69">
        <f>$L$32</f>
        <v>0</v>
      </c>
      <c r="AT14" s="68">
        <f>IF($L$34=0,"",$L$34)</f>
      </c>
      <c r="AU14" s="68">
        <f>IF($P$34=0,"",$P$34)</f>
      </c>
      <c r="AV14" s="68">
        <f>IF($N$34=0,"",$N$34)</f>
      </c>
      <c r="AW14" s="70">
        <f>$O$34</f>
      </c>
      <c r="AX14" s="69">
        <f>$Q$32</f>
        <v>0</v>
      </c>
      <c r="AY14" s="75" t="e">
        <f t="shared" si="1"/>
        <v>#N/A</v>
      </c>
    </row>
    <row r="15" spans="1:51" ht="38.25" customHeight="1" thickBot="1" thickTop="1">
      <c r="A15" s="18"/>
      <c r="B15" s="19"/>
      <c r="C15" s="19"/>
      <c r="D15" s="19"/>
      <c r="E15" s="19"/>
      <c r="F15" s="42"/>
      <c r="G15" s="19"/>
      <c r="H15" s="19"/>
      <c r="I15" s="19"/>
      <c r="J15" s="497"/>
      <c r="K15" s="497"/>
      <c r="L15" s="497"/>
      <c r="M15" s="19"/>
      <c r="N15" s="19"/>
      <c r="O15" s="19"/>
      <c r="P15" s="42"/>
      <c r="Q15" s="19"/>
      <c r="R15" s="19"/>
      <c r="S15" s="19"/>
      <c r="T15" s="19"/>
      <c r="U15" s="19"/>
      <c r="AG15" s="257" t="e">
        <f t="shared" si="2"/>
        <v>#N/A</v>
      </c>
      <c r="AH15" s="64">
        <v>5</v>
      </c>
      <c r="AI15" s="65">
        <f>$L$18</f>
        <v>0</v>
      </c>
      <c r="AJ15" s="64">
        <f>$L$20</f>
        <v>0</v>
      </c>
      <c r="AK15" s="64">
        <f>$P$20</f>
        <v>0</v>
      </c>
      <c r="AL15" s="64">
        <f>$N$20</f>
        <v>0</v>
      </c>
      <c r="AM15" s="66">
        <f>$O$20</f>
      </c>
      <c r="AN15" s="65">
        <f>$Q$18</f>
        <v>0</v>
      </c>
      <c r="AO15" s="75" t="e">
        <f t="shared" si="3"/>
        <v>#N/A</v>
      </c>
      <c r="AP15" s="241" t="e">
        <f>AQ15&amp;5</f>
        <v>#N/A</v>
      </c>
      <c r="AQ15" s="242" t="e">
        <f t="shared" si="0"/>
        <v>#N/A</v>
      </c>
      <c r="AR15" s="243">
        <f>$A$38</f>
        <v>13</v>
      </c>
      <c r="AS15" s="244">
        <f>$B$39</f>
        <v>0</v>
      </c>
      <c r="AT15" s="243">
        <f>IF($B$41=0,"",$B$41)</f>
      </c>
      <c r="AU15" s="243">
        <f>IF($F$41=0,"",$F$41)</f>
      </c>
      <c r="AV15" s="243">
        <f>IF($D$41=0,"",$D$41)</f>
      </c>
      <c r="AW15" s="245">
        <f>$E$41</f>
      </c>
      <c r="AX15" s="244">
        <f>$G$39</f>
        <v>0</v>
      </c>
      <c r="AY15" s="246" t="e">
        <f t="shared" si="1"/>
        <v>#N/A</v>
      </c>
    </row>
    <row r="16" spans="1:51" ht="21.75" customHeight="1" thickBot="1">
      <c r="A16" s="1"/>
      <c r="F16" s="41"/>
      <c r="P16" s="41"/>
      <c r="AG16" s="257" t="e">
        <f t="shared" si="2"/>
        <v>#N/A</v>
      </c>
      <c r="AH16" s="64">
        <v>6</v>
      </c>
      <c r="AI16" s="65">
        <f>$W$18</f>
        <v>0</v>
      </c>
      <c r="AJ16" s="64">
        <f>$W$20</f>
        <v>0</v>
      </c>
      <c r="AK16" s="64">
        <f>$AA$20</f>
        <v>0</v>
      </c>
      <c r="AL16" s="64">
        <f>$Y$20</f>
        <v>0</v>
      </c>
      <c r="AM16" s="66">
        <f>$Z$20</f>
      </c>
      <c r="AN16" s="65">
        <f>$AB$18</f>
        <v>0</v>
      </c>
      <c r="AO16" s="67" t="e">
        <f t="shared" si="3"/>
        <v>#N/A</v>
      </c>
      <c r="AP16" s="233" t="e">
        <f>AQ16&amp;1</f>
        <v>#N/A</v>
      </c>
      <c r="AQ16" s="234" t="e">
        <f>VLOOKUP(AS16,init6,6,FALSE)</f>
        <v>#N/A</v>
      </c>
      <c r="AR16" s="235">
        <f>$A$10</f>
        <v>1</v>
      </c>
      <c r="AS16" s="236">
        <f>$B$11</f>
        <v>0</v>
      </c>
      <c r="AT16" s="235">
        <f>IF($B$13=0,"",$B$13)</f>
      </c>
      <c r="AU16" s="235">
        <f>IF($F$13=0,"",$F$13)</f>
      </c>
      <c r="AV16" s="235">
        <f>IF($D$13=0,"",$D$13)</f>
      </c>
      <c r="AW16" s="237">
        <f>$E$13</f>
      </c>
      <c r="AX16" s="236">
        <f>$G$11</f>
        <v>0</v>
      </c>
      <c r="AY16" s="238" t="e">
        <f>VLOOKUP(AX16,init6,6,FALSE)</f>
        <v>#N/A</v>
      </c>
    </row>
    <row r="17" spans="1:51" ht="28.5" customHeight="1">
      <c r="A17" s="1">
        <v>4</v>
      </c>
      <c r="B17" s="30"/>
      <c r="C17" s="48" t="s">
        <v>50</v>
      </c>
      <c r="D17" s="31"/>
      <c r="E17" s="31"/>
      <c r="F17" s="48" t="s">
        <v>38</v>
      </c>
      <c r="G17" s="31"/>
      <c r="H17" s="221"/>
      <c r="I17" s="48" t="s">
        <v>51</v>
      </c>
      <c r="J17" s="222"/>
      <c r="K17" s="209">
        <v>5</v>
      </c>
      <c r="L17" s="30"/>
      <c r="M17" s="48" t="s">
        <v>50</v>
      </c>
      <c r="N17" s="31"/>
      <c r="O17" s="31"/>
      <c r="P17" s="48" t="s">
        <v>79</v>
      </c>
      <c r="Q17" s="31"/>
      <c r="R17" s="221"/>
      <c r="S17" s="48" t="s">
        <v>36</v>
      </c>
      <c r="T17" s="222"/>
      <c r="U17" s="370"/>
      <c r="V17">
        <v>6</v>
      </c>
      <c r="W17" s="30"/>
      <c r="X17" s="48" t="s">
        <v>50</v>
      </c>
      <c r="Y17" s="31"/>
      <c r="Z17" s="31"/>
      <c r="AA17" s="48" t="s">
        <v>37</v>
      </c>
      <c r="AB17" s="31"/>
      <c r="AC17" s="221"/>
      <c r="AD17" s="48" t="s">
        <v>78</v>
      </c>
      <c r="AE17" s="222"/>
      <c r="AF17" s="370"/>
      <c r="AG17" s="256" t="e">
        <f t="shared" si="2"/>
        <v>#N/A</v>
      </c>
      <c r="AH17" s="63">
        <v>7</v>
      </c>
      <c r="AI17" s="63">
        <f>$B$25</f>
        <v>0</v>
      </c>
      <c r="AJ17" s="63">
        <f>$B$27</f>
        <v>0</v>
      </c>
      <c r="AK17" s="63">
        <f>$F$27</f>
        <v>0</v>
      </c>
      <c r="AL17" s="63">
        <f>$D$27</f>
        <v>0</v>
      </c>
      <c r="AM17" s="63">
        <f>$E$27</f>
      </c>
      <c r="AN17" s="63">
        <f>$G$25</f>
        <v>0</v>
      </c>
      <c r="AO17" s="162" t="e">
        <f t="shared" si="3"/>
        <v>#N/A</v>
      </c>
      <c r="AP17" s="240" t="e">
        <f>AQ17&amp;2</f>
        <v>#N/A</v>
      </c>
      <c r="AQ17" s="67" t="e">
        <f t="shared" si="0"/>
        <v>#N/A</v>
      </c>
      <c r="AR17" s="162">
        <f>$V$17</f>
        <v>6</v>
      </c>
      <c r="AS17" s="162">
        <f>$W$18</f>
        <v>0</v>
      </c>
      <c r="AT17" s="68">
        <f>IF($W$20=0,"",$W$20)</f>
      </c>
      <c r="AU17" s="68">
        <f>IF($AA$20=0,"",$AA$20)</f>
      </c>
      <c r="AV17" s="68">
        <f>IF($Y$20=0,"",$Y$20)</f>
      </c>
      <c r="AW17" s="70">
        <f>$Z$20</f>
      </c>
      <c r="AX17" s="162">
        <f>$AB$18</f>
        <v>0</v>
      </c>
      <c r="AY17" s="75" t="e">
        <f t="shared" si="1"/>
        <v>#N/A</v>
      </c>
    </row>
    <row r="18" spans="1:51" ht="33" customHeight="1">
      <c r="A18" s="71">
        <v>1</v>
      </c>
      <c r="B18" s="495">
        <f>VLOOKUP(A18,origine,2,FALSE)</f>
        <v>0</v>
      </c>
      <c r="C18" s="496"/>
      <c r="D18" s="496"/>
      <c r="E18" s="496"/>
      <c r="F18" s="44"/>
      <c r="G18" s="495">
        <f>VLOOKUP(A19,origine,2,FALSE)</f>
        <v>0</v>
      </c>
      <c r="H18" s="496"/>
      <c r="I18" s="496"/>
      <c r="J18" s="496"/>
      <c r="K18" s="369">
        <v>4</v>
      </c>
      <c r="L18" s="495">
        <f>VLOOKUP(K18,origine,2,FALSE)</f>
        <v>0</v>
      </c>
      <c r="M18" s="496"/>
      <c r="N18" s="496"/>
      <c r="O18" s="496"/>
      <c r="P18" s="44"/>
      <c r="Q18" s="495">
        <f>VLOOKUP(K19,origine,2,FALSE)</f>
        <v>0</v>
      </c>
      <c r="R18" s="496"/>
      <c r="S18" s="496"/>
      <c r="T18" s="496"/>
      <c r="U18" s="370"/>
      <c r="V18">
        <v>2</v>
      </c>
      <c r="W18" s="495">
        <f>VLOOKUP(V18,origine,2,FALSE)</f>
        <v>0</v>
      </c>
      <c r="X18" s="496"/>
      <c r="Y18" s="496"/>
      <c r="Z18" s="496"/>
      <c r="AA18" s="44"/>
      <c r="AB18" s="495">
        <f>VLOOKUP(V19,origine,2,FALSE)</f>
        <v>0</v>
      </c>
      <c r="AC18" s="496"/>
      <c r="AD18" s="496"/>
      <c r="AE18" s="496"/>
      <c r="AF18" s="370"/>
      <c r="AG18" s="257" t="e">
        <f t="shared" si="2"/>
        <v>#N/A</v>
      </c>
      <c r="AH18" s="64">
        <v>8</v>
      </c>
      <c r="AI18" s="65">
        <f>$L$25</f>
        <v>0</v>
      </c>
      <c r="AJ18" s="64">
        <f>$L$27</f>
        <v>0</v>
      </c>
      <c r="AK18" s="64">
        <f>$P$27</f>
        <v>0</v>
      </c>
      <c r="AL18" s="64">
        <f>$N$27</f>
        <v>0</v>
      </c>
      <c r="AM18" s="66">
        <f>$O$27</f>
      </c>
      <c r="AN18" s="65">
        <f>$Q$25</f>
        <v>0</v>
      </c>
      <c r="AO18" s="67" t="e">
        <f t="shared" si="3"/>
        <v>#N/A</v>
      </c>
      <c r="AP18" s="239" t="e">
        <f>AQ18&amp;3</f>
        <v>#N/A</v>
      </c>
      <c r="AQ18" s="67" t="e">
        <f t="shared" si="0"/>
        <v>#N/A</v>
      </c>
      <c r="AR18" s="68">
        <f>$K$24</f>
        <v>8</v>
      </c>
      <c r="AS18" s="69">
        <f>$L$25</f>
        <v>0</v>
      </c>
      <c r="AT18" s="68">
        <f>IF($L$27=0,"",$L$27)</f>
      </c>
      <c r="AU18" s="68">
        <f>IF($P$27=0,"",$P$27)</f>
      </c>
      <c r="AV18" s="68">
        <f>IF($N$27=0,"",$N$27)</f>
      </c>
      <c r="AW18" s="70">
        <f>$O$27</f>
      </c>
      <c r="AX18" s="69">
        <f>$Q$25</f>
        <v>0</v>
      </c>
      <c r="AY18" s="75" t="e">
        <f t="shared" si="1"/>
        <v>#N/A</v>
      </c>
    </row>
    <row r="19" spans="1:51" ht="25.5" customHeight="1">
      <c r="A19" s="1">
        <v>5</v>
      </c>
      <c r="B19" s="8" t="s">
        <v>5</v>
      </c>
      <c r="C19" s="9" t="s">
        <v>4</v>
      </c>
      <c r="D19" s="10" t="s">
        <v>6</v>
      </c>
      <c r="E19" s="10" t="s">
        <v>7</v>
      </c>
      <c r="F19" s="12" t="s">
        <v>8</v>
      </c>
      <c r="G19" s="10" t="s">
        <v>5</v>
      </c>
      <c r="H19" s="9" t="s">
        <v>4</v>
      </c>
      <c r="I19" s="10" t="s">
        <v>6</v>
      </c>
      <c r="J19" s="11" t="s">
        <v>7</v>
      </c>
      <c r="K19" s="369">
        <v>6</v>
      </c>
      <c r="L19" s="8" t="s">
        <v>5</v>
      </c>
      <c r="M19" s="14" t="s">
        <v>4</v>
      </c>
      <c r="N19" s="10" t="s">
        <v>6</v>
      </c>
      <c r="O19" s="11" t="s">
        <v>7</v>
      </c>
      <c r="P19" s="12" t="s">
        <v>8</v>
      </c>
      <c r="Q19" s="8" t="s">
        <v>5</v>
      </c>
      <c r="R19" s="14" t="s">
        <v>4</v>
      </c>
      <c r="S19" s="10" t="s">
        <v>6</v>
      </c>
      <c r="T19" s="11" t="s">
        <v>7</v>
      </c>
      <c r="U19" s="370"/>
      <c r="V19">
        <v>3</v>
      </c>
      <c r="W19" s="8" t="s">
        <v>5</v>
      </c>
      <c r="X19" s="14" t="s">
        <v>4</v>
      </c>
      <c r="Y19" s="10" t="s">
        <v>6</v>
      </c>
      <c r="Z19" s="10" t="s">
        <v>7</v>
      </c>
      <c r="AA19" s="12" t="s">
        <v>8</v>
      </c>
      <c r="AB19" s="10" t="s">
        <v>5</v>
      </c>
      <c r="AC19" s="14" t="s">
        <v>4</v>
      </c>
      <c r="AD19" s="10" t="s">
        <v>6</v>
      </c>
      <c r="AE19" s="11" t="s">
        <v>7</v>
      </c>
      <c r="AF19" s="370"/>
      <c r="AG19" s="257" t="e">
        <f t="shared" si="2"/>
        <v>#N/A</v>
      </c>
      <c r="AH19" s="64">
        <v>9</v>
      </c>
      <c r="AI19" s="65">
        <f>$W$25</f>
        <v>0</v>
      </c>
      <c r="AJ19" s="64">
        <f>$W$27</f>
        <v>0</v>
      </c>
      <c r="AK19" s="64">
        <f>$AA$27</f>
        <v>0</v>
      </c>
      <c r="AL19" s="64">
        <f>$Y$27</f>
        <v>0</v>
      </c>
      <c r="AM19" s="66">
        <f>$Z$27</f>
      </c>
      <c r="AN19" s="65">
        <f>$AB$25</f>
        <v>0</v>
      </c>
      <c r="AO19" s="67" t="e">
        <f t="shared" si="3"/>
        <v>#N/A</v>
      </c>
      <c r="AP19" s="239" t="e">
        <f>AQ19&amp;4</f>
        <v>#N/A</v>
      </c>
      <c r="AQ19" s="67" t="e">
        <f t="shared" si="0"/>
        <v>#N/A</v>
      </c>
      <c r="AR19" s="68">
        <f>$V$31</f>
        <v>12</v>
      </c>
      <c r="AS19" s="69">
        <f>$W$32</f>
        <v>0</v>
      </c>
      <c r="AT19" s="68">
        <f>IF($W$34=0,"",$W$34)</f>
      </c>
      <c r="AU19" s="68">
        <f>IF($AA$34=0,"",$AA$34)</f>
      </c>
      <c r="AV19" s="68">
        <f>IF($Y$34=0,"",$Y$34)</f>
      </c>
      <c r="AW19" s="70">
        <f>$Z$34</f>
      </c>
      <c r="AX19" s="69">
        <f>$AB$32</f>
        <v>0</v>
      </c>
      <c r="AY19" s="75" t="e">
        <f t="shared" si="1"/>
        <v>#N/A</v>
      </c>
    </row>
    <row r="20" spans="1:51" ht="33.75" customHeight="1" thickBot="1">
      <c r="A20" s="1"/>
      <c r="B20" s="403"/>
      <c r="C20" s="417">
        <f>IF(F20=0,"",B20/F20)</f>
      </c>
      <c r="D20" s="404"/>
      <c r="E20" s="405">
        <f>IF(F20=0,"",IF(B20&gt;G20,2,IF(B20=G20,1,0)))</f>
      </c>
      <c r="F20" s="406"/>
      <c r="G20" s="403"/>
      <c r="H20" s="417">
        <f>IF(F20=0,"",G20/F20)</f>
      </c>
      <c r="I20" s="404"/>
      <c r="J20" s="405">
        <f>IF(F20=0,"",IF(G20&gt;B20,2,IF(G20=B20,1,0)))</f>
      </c>
      <c r="K20" s="407"/>
      <c r="L20" s="403"/>
      <c r="M20" s="417">
        <f>IF(P20=0,"",L20/P20)</f>
      </c>
      <c r="N20" s="404"/>
      <c r="O20" s="405">
        <f>IF(P20=0,"",IF(L20&gt;Q20,2,IF(L20=Q20,1,0)))</f>
      </c>
      <c r="P20" s="406"/>
      <c r="Q20" s="403"/>
      <c r="R20" s="417">
        <f>IF(P20=0,"",Q20/P20)</f>
      </c>
      <c r="S20" s="404"/>
      <c r="T20" s="405">
        <f>IF(P20=0,"",IF(Q20&gt;L20,2,IF(Q20=L20,1,0)))</f>
      </c>
      <c r="U20" s="239"/>
      <c r="V20" s="87"/>
      <c r="W20" s="403"/>
      <c r="X20" s="417">
        <f>IF(AA20=0,"",W20/AA20)</f>
      </c>
      <c r="Y20" s="404"/>
      <c r="Z20" s="405">
        <f>IF(AA20=0,"",IF(W20&gt;AB20,2,IF(W20=AB20,1,0)))</f>
      </c>
      <c r="AA20" s="406"/>
      <c r="AB20" s="403"/>
      <c r="AC20" s="417">
        <f>IF(AA20=0,"",AB20/AA20)</f>
      </c>
      <c r="AD20" s="404"/>
      <c r="AE20" s="405">
        <f>IF(AA20=0,"",IF(AB20&gt;W20,2,IF(AB20=W20,1,0)))</f>
      </c>
      <c r="AF20" s="370"/>
      <c r="AG20" s="257" t="e">
        <f t="shared" si="2"/>
        <v>#N/A</v>
      </c>
      <c r="AH20" s="64">
        <v>10</v>
      </c>
      <c r="AI20" s="65">
        <f>$B$32</f>
        <v>0</v>
      </c>
      <c r="AJ20" s="64">
        <f>$B$34</f>
        <v>0</v>
      </c>
      <c r="AK20" s="64">
        <f>$F$34</f>
        <v>0</v>
      </c>
      <c r="AL20" s="64">
        <f>$D$34</f>
        <v>0</v>
      </c>
      <c r="AM20" s="66">
        <f>$E$34</f>
      </c>
      <c r="AN20" s="65">
        <f>$G$32</f>
        <v>0</v>
      </c>
      <c r="AO20" s="67" t="e">
        <f t="shared" si="3"/>
        <v>#N/A</v>
      </c>
      <c r="AP20" s="241" t="e">
        <f>AQ20&amp;5</f>
        <v>#N/A</v>
      </c>
      <c r="AQ20" s="242" t="e">
        <f t="shared" si="0"/>
        <v>#N/A</v>
      </c>
      <c r="AR20" s="243">
        <f>$A$38</f>
        <v>13</v>
      </c>
      <c r="AS20" s="244">
        <f>$G$39</f>
        <v>0</v>
      </c>
      <c r="AT20" s="243">
        <f>IF($G$41=0,"",$G$41)</f>
      </c>
      <c r="AU20" s="243">
        <f>IF($F$41=0,"",$F$41)</f>
      </c>
      <c r="AV20" s="243">
        <f>IF($I$41=0,"",$I$41)</f>
      </c>
      <c r="AW20" s="245">
        <f>$J$41</f>
      </c>
      <c r="AX20" s="244">
        <f>$B$39</f>
        <v>0</v>
      </c>
      <c r="AY20" s="246" t="e">
        <f t="shared" si="1"/>
        <v>#N/A</v>
      </c>
    </row>
    <row r="21" spans="1:51" ht="22.5" customHeight="1" thickBot="1">
      <c r="A21" s="6"/>
      <c r="B21" s="6"/>
      <c r="C21" s="7"/>
      <c r="D21" s="6"/>
      <c r="E21" s="6"/>
      <c r="F21" s="16"/>
      <c r="G21" s="6"/>
      <c r="H21" s="7"/>
      <c r="I21" s="6"/>
      <c r="J21" s="6"/>
      <c r="K21" s="1"/>
      <c r="P21" s="4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257" t="e">
        <f t="shared" si="2"/>
        <v>#N/A</v>
      </c>
      <c r="AH21" s="64">
        <v>11</v>
      </c>
      <c r="AI21" s="65">
        <f>$L$32</f>
        <v>0</v>
      </c>
      <c r="AJ21" s="64">
        <f>$L$34</f>
        <v>0</v>
      </c>
      <c r="AK21" s="64">
        <f>$P$34</f>
        <v>0</v>
      </c>
      <c r="AL21" s="64">
        <f>$N$34</f>
        <v>0</v>
      </c>
      <c r="AM21" s="66">
        <f>$O$34</f>
      </c>
      <c r="AN21" s="65">
        <f>$Q$32</f>
        <v>0</v>
      </c>
      <c r="AO21" s="67" t="e">
        <f t="shared" si="3"/>
        <v>#N/A</v>
      </c>
      <c r="AP21" s="233" t="e">
        <f>AQ21&amp;1</f>
        <v>#N/A</v>
      </c>
      <c r="AQ21" s="234" t="e">
        <f t="shared" si="0"/>
        <v>#N/A</v>
      </c>
      <c r="AR21" s="235">
        <f>$V$10</f>
        <v>3</v>
      </c>
      <c r="AS21" s="236">
        <f>$W$11</f>
        <v>0</v>
      </c>
      <c r="AT21" s="235">
        <f>IF($W$13=0,"",$W$13)</f>
      </c>
      <c r="AU21" s="235">
        <f>IF($AA$13=0,"",$AA$13)</f>
      </c>
      <c r="AV21" s="235">
        <f>IF($Y$13=0,"",$Y$13)</f>
      </c>
      <c r="AW21" s="237">
        <f>$Z$13</f>
      </c>
      <c r="AX21" s="236">
        <f>$AB$11</f>
        <v>0</v>
      </c>
      <c r="AY21" s="238" t="e">
        <f t="shared" si="1"/>
        <v>#N/A</v>
      </c>
    </row>
    <row r="22" spans="1:51" ht="38.25" customHeight="1" thickTop="1">
      <c r="A22" s="18"/>
      <c r="B22" s="19"/>
      <c r="C22" s="19"/>
      <c r="D22" s="19"/>
      <c r="E22" s="19"/>
      <c r="F22" s="42"/>
      <c r="G22" s="19"/>
      <c r="H22" s="19"/>
      <c r="I22" s="19"/>
      <c r="J22" s="497"/>
      <c r="K22" s="497"/>
      <c r="L22" s="497"/>
      <c r="M22" s="19"/>
      <c r="N22" s="19"/>
      <c r="O22" s="19"/>
      <c r="P22" s="42"/>
      <c r="Q22" s="19"/>
      <c r="R22" s="19"/>
      <c r="S22" s="19"/>
      <c r="T22" s="19"/>
      <c r="U22" s="19"/>
      <c r="AG22" s="257" t="e">
        <f t="shared" si="2"/>
        <v>#N/A</v>
      </c>
      <c r="AH22" s="64">
        <v>12</v>
      </c>
      <c r="AI22" s="65">
        <f>$W$32</f>
        <v>0</v>
      </c>
      <c r="AJ22" s="64">
        <f>$W$34</f>
        <v>0</v>
      </c>
      <c r="AK22" s="64">
        <f>$AA$34</f>
        <v>0</v>
      </c>
      <c r="AL22" s="64">
        <f>$Y$34</f>
        <v>0</v>
      </c>
      <c r="AM22" s="66">
        <f>$Z$34</f>
      </c>
      <c r="AN22" s="65">
        <f>$AB$32</f>
        <v>0</v>
      </c>
      <c r="AO22" s="67" t="e">
        <f t="shared" si="3"/>
        <v>#N/A</v>
      </c>
      <c r="AP22" s="239" t="e">
        <f>AQ22&amp;2</f>
        <v>#N/A</v>
      </c>
      <c r="AQ22" s="67" t="e">
        <f t="shared" si="0"/>
        <v>#N/A</v>
      </c>
      <c r="AR22" s="68">
        <f>$V$17</f>
        <v>6</v>
      </c>
      <c r="AS22" s="69">
        <f>$AB$18</f>
        <v>0</v>
      </c>
      <c r="AT22" s="68">
        <f>IF($AB$20=0,"",$AB$20)</f>
      </c>
      <c r="AU22" s="68">
        <f>IF($AA$20=0,"",$AA$20)</f>
      </c>
      <c r="AV22" s="68">
        <f>IF($AD$20=0,"",$AD$20)</f>
      </c>
      <c r="AW22" s="70">
        <f>$AE$20</f>
      </c>
      <c r="AX22" s="69">
        <f>$W$18</f>
        <v>0</v>
      </c>
      <c r="AY22" s="75" t="e">
        <f t="shared" si="1"/>
        <v>#N/A</v>
      </c>
    </row>
    <row r="23" spans="1:51" ht="21.75" customHeight="1" thickBot="1">
      <c r="A23" s="1"/>
      <c r="B23" s="6"/>
      <c r="C23" s="7"/>
      <c r="D23" s="6"/>
      <c r="E23" s="6"/>
      <c r="F23" s="16"/>
      <c r="G23" s="6"/>
      <c r="H23" s="7"/>
      <c r="I23" s="6"/>
      <c r="J23" s="6"/>
      <c r="K23" s="6"/>
      <c r="P23" s="41"/>
      <c r="AG23" s="257" t="e">
        <f t="shared" si="2"/>
        <v>#N/A</v>
      </c>
      <c r="AH23" s="64">
        <v>13</v>
      </c>
      <c r="AI23" s="65">
        <f>$B$39</f>
        <v>0</v>
      </c>
      <c r="AJ23" s="64">
        <f>$B$41</f>
        <v>0</v>
      </c>
      <c r="AK23" s="64">
        <f>$F$41</f>
        <v>0</v>
      </c>
      <c r="AL23" s="64">
        <f>$D$41</f>
        <v>0</v>
      </c>
      <c r="AM23" s="66">
        <f>$E$41</f>
      </c>
      <c r="AN23" s="65">
        <f>$G$39</f>
        <v>0</v>
      </c>
      <c r="AO23" s="67" t="e">
        <f t="shared" si="3"/>
        <v>#N/A</v>
      </c>
      <c r="AP23" s="239" t="e">
        <f>AQ23&amp;3</f>
        <v>#N/A</v>
      </c>
      <c r="AQ23" s="67" t="e">
        <f t="shared" si="0"/>
        <v>#N/A</v>
      </c>
      <c r="AR23" s="68">
        <f>$A$24</f>
        <v>7</v>
      </c>
      <c r="AS23" s="69">
        <f>$B$25</f>
        <v>0</v>
      </c>
      <c r="AT23" s="68">
        <f>IF($B$27=0,"",$B$27)</f>
      </c>
      <c r="AU23" s="68">
        <f>IF($F$27=0,"",$F$27)</f>
      </c>
      <c r="AV23" s="68">
        <f>IF($D$27=0,"",$D$27)</f>
      </c>
      <c r="AW23" s="70">
        <f>$E$27</f>
      </c>
      <c r="AX23" s="69">
        <f>$G$25</f>
        <v>0</v>
      </c>
      <c r="AY23" s="75" t="e">
        <f t="shared" si="1"/>
        <v>#N/A</v>
      </c>
    </row>
    <row r="24" spans="1:51" ht="28.5" customHeight="1">
      <c r="A24" s="1">
        <v>7</v>
      </c>
      <c r="B24" s="341"/>
      <c r="C24" s="342" t="s">
        <v>49</v>
      </c>
      <c r="D24" s="343"/>
      <c r="E24" s="343"/>
      <c r="F24" s="342" t="s">
        <v>40</v>
      </c>
      <c r="G24" s="343"/>
      <c r="H24" s="344"/>
      <c r="I24" s="342" t="s">
        <v>51</v>
      </c>
      <c r="J24" s="345"/>
      <c r="K24" s="209">
        <v>8</v>
      </c>
      <c r="L24" s="341"/>
      <c r="M24" s="342" t="s">
        <v>49</v>
      </c>
      <c r="N24" s="343"/>
      <c r="O24" s="343"/>
      <c r="P24" s="342" t="s">
        <v>44</v>
      </c>
      <c r="Q24" s="343"/>
      <c r="R24" s="344"/>
      <c r="S24" s="342" t="s">
        <v>36</v>
      </c>
      <c r="T24" s="345"/>
      <c r="U24" s="370"/>
      <c r="V24">
        <v>9</v>
      </c>
      <c r="W24" s="341"/>
      <c r="X24" s="342" t="s">
        <v>49</v>
      </c>
      <c r="Y24" s="343"/>
      <c r="Z24" s="343"/>
      <c r="AA24" s="342" t="s">
        <v>39</v>
      </c>
      <c r="AB24" s="343"/>
      <c r="AC24" s="344"/>
      <c r="AD24" s="342" t="s">
        <v>78</v>
      </c>
      <c r="AE24" s="345"/>
      <c r="AF24" s="370"/>
      <c r="AG24" s="256" t="e">
        <f t="shared" si="2"/>
        <v>#N/A</v>
      </c>
      <c r="AH24" s="63">
        <v>14</v>
      </c>
      <c r="AI24" s="63">
        <f>$L$39</f>
        <v>0</v>
      </c>
      <c r="AJ24" s="63">
        <f>$L$41</f>
        <v>0</v>
      </c>
      <c r="AK24" s="63">
        <f>$P$41</f>
        <v>0</v>
      </c>
      <c r="AL24" s="63">
        <f>$N$41</f>
        <v>0</v>
      </c>
      <c r="AM24" s="63">
        <f>$O$41</f>
      </c>
      <c r="AN24" s="63">
        <f>$Q$39</f>
        <v>0</v>
      </c>
      <c r="AO24" s="162" t="e">
        <f t="shared" si="3"/>
        <v>#N/A</v>
      </c>
      <c r="AP24" s="240" t="e">
        <f>AQ24&amp;4</f>
        <v>#N/A</v>
      </c>
      <c r="AQ24" s="67" t="e">
        <f t="shared" si="0"/>
        <v>#N/A</v>
      </c>
      <c r="AR24" s="162">
        <f>$K$31</f>
        <v>11</v>
      </c>
      <c r="AS24" s="162">
        <f>$Q$32</f>
        <v>0</v>
      </c>
      <c r="AT24" s="68">
        <f>IF($Q$34=0,"",$Q$34)</f>
      </c>
      <c r="AU24" s="68">
        <f>IF($P$34=0,"",$P$34)</f>
      </c>
      <c r="AV24" s="68">
        <f>IF($S$34=0,"",$S$34)</f>
      </c>
      <c r="AW24" s="70">
        <f>$T$34</f>
      </c>
      <c r="AX24" s="162">
        <f>$L$32</f>
        <v>0</v>
      </c>
      <c r="AY24" s="75" t="e">
        <f t="shared" si="1"/>
        <v>#N/A</v>
      </c>
    </row>
    <row r="25" spans="1:51" ht="33" customHeight="1" thickBot="1">
      <c r="A25" s="71">
        <v>3</v>
      </c>
      <c r="B25" s="495">
        <f>VLOOKUP(A25,origine,2,FALSE)</f>
        <v>0</v>
      </c>
      <c r="C25" s="496"/>
      <c r="D25" s="496"/>
      <c r="E25" s="496"/>
      <c r="F25" s="44"/>
      <c r="G25" s="495">
        <f>VLOOKUP(A26,origine,2,FALSE)</f>
        <v>0</v>
      </c>
      <c r="H25" s="496"/>
      <c r="I25" s="496"/>
      <c r="J25" s="496"/>
      <c r="K25" s="369">
        <v>2</v>
      </c>
      <c r="L25" s="495">
        <f>VLOOKUP(K25,origine,2,FALSE)</f>
        <v>0</v>
      </c>
      <c r="M25" s="496"/>
      <c r="N25" s="496"/>
      <c r="O25" s="496"/>
      <c r="P25" s="44"/>
      <c r="Q25" s="495">
        <f>VLOOKUP(K26,origine,2,FALSE)</f>
        <v>0</v>
      </c>
      <c r="R25" s="496"/>
      <c r="S25" s="496"/>
      <c r="T25" s="496"/>
      <c r="U25" s="370"/>
      <c r="V25">
        <v>1</v>
      </c>
      <c r="W25" s="495">
        <f>VLOOKUP(V25,origine,2,FALSE)</f>
        <v>0</v>
      </c>
      <c r="X25" s="496"/>
      <c r="Y25" s="496"/>
      <c r="Z25" s="496"/>
      <c r="AA25" s="43"/>
      <c r="AB25" s="495">
        <f>VLOOKUP(V26,origine,2,FALSE)</f>
        <v>0</v>
      </c>
      <c r="AC25" s="496"/>
      <c r="AD25" s="496"/>
      <c r="AE25" s="496"/>
      <c r="AF25" s="370"/>
      <c r="AG25" s="257" t="e">
        <f t="shared" si="2"/>
        <v>#N/A</v>
      </c>
      <c r="AH25" s="64">
        <v>15</v>
      </c>
      <c r="AI25" s="65">
        <f>$W$39</f>
        <v>0</v>
      </c>
      <c r="AJ25" s="64">
        <f>$W$41</f>
        <v>0</v>
      </c>
      <c r="AK25" s="64">
        <f>$AA$41</f>
        <v>0</v>
      </c>
      <c r="AL25" s="64">
        <f>$Y$41</f>
        <v>0</v>
      </c>
      <c r="AM25" s="66">
        <f>$Z$41</f>
      </c>
      <c r="AN25" s="65">
        <f>$AB$39</f>
        <v>0</v>
      </c>
      <c r="AO25" s="67" t="e">
        <f t="shared" si="3"/>
        <v>#N/A</v>
      </c>
      <c r="AP25" s="241" t="e">
        <f>AQ25&amp;5</f>
        <v>#N/A</v>
      </c>
      <c r="AQ25" s="242" t="e">
        <f t="shared" si="0"/>
        <v>#N/A</v>
      </c>
      <c r="AR25" s="243">
        <f>$K$38</f>
        <v>14</v>
      </c>
      <c r="AS25" s="244">
        <f>$L$39</f>
        <v>0</v>
      </c>
      <c r="AT25" s="243">
        <f>IF($L$41=0,"",$L$41)</f>
      </c>
      <c r="AU25" s="243">
        <f>IF($P$41=0,"",$P$41)</f>
      </c>
      <c r="AV25" s="243">
        <f>IF($N$41=0,"",$N$41)</f>
      </c>
      <c r="AW25" s="245">
        <f>$O$41</f>
      </c>
      <c r="AX25" s="244">
        <f>$Q$39</f>
        <v>0</v>
      </c>
      <c r="AY25" s="246" t="e">
        <f t="shared" si="1"/>
        <v>#N/A</v>
      </c>
    </row>
    <row r="26" spans="1:51" ht="25.5" customHeight="1">
      <c r="A26" s="1">
        <v>6</v>
      </c>
      <c r="B26" s="8" t="s">
        <v>5</v>
      </c>
      <c r="C26" s="9" t="s">
        <v>4</v>
      </c>
      <c r="D26" s="10" t="s">
        <v>6</v>
      </c>
      <c r="E26" s="10" t="s">
        <v>7</v>
      </c>
      <c r="F26" s="12" t="s">
        <v>8</v>
      </c>
      <c r="G26" s="10" t="s">
        <v>5</v>
      </c>
      <c r="H26" s="9" t="s">
        <v>4</v>
      </c>
      <c r="I26" s="10" t="s">
        <v>6</v>
      </c>
      <c r="J26" s="11" t="s">
        <v>7</v>
      </c>
      <c r="K26" s="369">
        <v>5</v>
      </c>
      <c r="L26" s="8" t="s">
        <v>5</v>
      </c>
      <c r="M26" s="14" t="s">
        <v>4</v>
      </c>
      <c r="N26" s="10" t="s">
        <v>6</v>
      </c>
      <c r="O26" s="11" t="s">
        <v>7</v>
      </c>
      <c r="P26" s="12" t="s">
        <v>8</v>
      </c>
      <c r="Q26" s="8" t="s">
        <v>5</v>
      </c>
      <c r="R26" s="14" t="s">
        <v>4</v>
      </c>
      <c r="S26" s="10" t="s">
        <v>6</v>
      </c>
      <c r="T26" s="11" t="s">
        <v>7</v>
      </c>
      <c r="U26" s="370"/>
      <c r="V26">
        <v>4</v>
      </c>
      <c r="W26" s="8" t="s">
        <v>5</v>
      </c>
      <c r="X26" s="14" t="s">
        <v>4</v>
      </c>
      <c r="Y26" s="10" t="s">
        <v>6</v>
      </c>
      <c r="Z26" s="10" t="s">
        <v>7</v>
      </c>
      <c r="AA26" s="12" t="s">
        <v>8</v>
      </c>
      <c r="AB26" s="10" t="s">
        <v>5</v>
      </c>
      <c r="AC26" s="14" t="s">
        <v>4</v>
      </c>
      <c r="AD26" s="10" t="s">
        <v>6</v>
      </c>
      <c r="AE26" s="11" t="s">
        <v>7</v>
      </c>
      <c r="AF26" s="370"/>
      <c r="AG26" s="257" t="e">
        <f t="shared" si="2"/>
        <v>#N/A</v>
      </c>
      <c r="AH26" s="64">
        <v>1</v>
      </c>
      <c r="AI26" s="65">
        <f>$G$11</f>
        <v>0</v>
      </c>
      <c r="AJ26" s="64">
        <f>$G$13</f>
        <v>0</v>
      </c>
      <c r="AK26" s="64">
        <f>$F$13</f>
        <v>0</v>
      </c>
      <c r="AL26" s="64">
        <f>$I$13</f>
        <v>0</v>
      </c>
      <c r="AM26" s="66">
        <f>$J$13</f>
      </c>
      <c r="AN26" s="65">
        <f>$B$11</f>
        <v>0</v>
      </c>
      <c r="AO26" s="67" t="e">
        <f t="shared" si="3"/>
        <v>#N/A</v>
      </c>
      <c r="AP26" s="233" t="e">
        <f>AQ26&amp;1</f>
        <v>#N/A</v>
      </c>
      <c r="AQ26" s="234" t="e">
        <f t="shared" si="0"/>
        <v>#N/A</v>
      </c>
      <c r="AR26" s="235">
        <f>$A$10</f>
        <v>1</v>
      </c>
      <c r="AS26" s="236">
        <f>$G$11</f>
        <v>0</v>
      </c>
      <c r="AT26" s="235">
        <f>IF($G$13=0,"",$G$13)</f>
      </c>
      <c r="AU26" s="235">
        <f>IF($F$13=0,"",$F$13)</f>
      </c>
      <c r="AV26" s="235">
        <f>IF($I$13=0,"",$I$13)</f>
      </c>
      <c r="AW26" s="237">
        <f>$J$13</f>
      </c>
      <c r="AX26" s="236">
        <f>$B$11</f>
        <v>0</v>
      </c>
      <c r="AY26" s="238" t="e">
        <f t="shared" si="1"/>
        <v>#N/A</v>
      </c>
    </row>
    <row r="27" spans="1:51" ht="33.75" customHeight="1" thickBot="1">
      <c r="A27" s="1"/>
      <c r="B27" s="403"/>
      <c r="C27" s="417">
        <f>IF(F27=0,"",B27/F27)</f>
      </c>
      <c r="D27" s="404"/>
      <c r="E27" s="405">
        <f>IF(F27=0,"",IF(B27&gt;G27,2,IF(B27=G27,1,0)))</f>
      </c>
      <c r="F27" s="406"/>
      <c r="G27" s="403"/>
      <c r="H27" s="417">
        <f>IF(F27=0,"",G27/F27)</f>
      </c>
      <c r="I27" s="404"/>
      <c r="J27" s="405">
        <f>IF(F27=0,"",IF(G27&gt;B27,2,IF(G27=B27,1,0)))</f>
      </c>
      <c r="K27" s="407"/>
      <c r="L27" s="403"/>
      <c r="M27" s="417">
        <f>IF(P27=0,"",L27/P27)</f>
      </c>
      <c r="N27" s="404"/>
      <c r="O27" s="405">
        <f>IF(P27=0,"",IF(L27&gt;Q27,2,IF(L27=Q27,1,0)))</f>
      </c>
      <c r="P27" s="406"/>
      <c r="Q27" s="403"/>
      <c r="R27" s="417">
        <f>IF(P27=0,"",Q27/P27)</f>
      </c>
      <c r="S27" s="404"/>
      <c r="T27" s="405">
        <f>IF(P27=0,"",IF(Q27&gt;L27,2,IF(Q27=L27,1,0)))</f>
      </c>
      <c r="U27" s="239"/>
      <c r="V27" s="87"/>
      <c r="W27" s="403"/>
      <c r="X27" s="417">
        <f>IF(AA27=0,"",W27/AA27)</f>
      </c>
      <c r="Y27" s="404"/>
      <c r="Z27" s="405">
        <f>IF(AA27=0,"",IF(W27&gt;AB27,2,IF(W27=AB27,1,0)))</f>
      </c>
      <c r="AA27" s="406"/>
      <c r="AB27" s="403"/>
      <c r="AC27" s="417">
        <f>IF(AA27=0,"",AB27/AA27)</f>
      </c>
      <c r="AD27" s="404"/>
      <c r="AE27" s="405">
        <f>IF(AA27=0,"",IF(AB27&gt;W27,2,IF(AB27=W27,1,0)))</f>
      </c>
      <c r="AF27" s="370"/>
      <c r="AG27" s="257" t="e">
        <f t="shared" si="2"/>
        <v>#N/A</v>
      </c>
      <c r="AH27" s="64">
        <v>2</v>
      </c>
      <c r="AI27" s="65">
        <f>$Q$11</f>
        <v>0</v>
      </c>
      <c r="AJ27" s="64">
        <f>$Q$13</f>
        <v>0</v>
      </c>
      <c r="AK27" s="64">
        <f>$P$13</f>
        <v>0</v>
      </c>
      <c r="AL27" s="64">
        <f>$S$13</f>
        <v>0</v>
      </c>
      <c r="AM27" s="66">
        <f>$T$13</f>
      </c>
      <c r="AN27" s="65">
        <f>$L$11</f>
        <v>0</v>
      </c>
      <c r="AO27" s="67" t="e">
        <f t="shared" si="3"/>
        <v>#N/A</v>
      </c>
      <c r="AP27" s="239" t="e">
        <f>AQ27&amp;2</f>
        <v>#N/A</v>
      </c>
      <c r="AQ27" s="67" t="e">
        <f t="shared" si="0"/>
        <v>#N/A</v>
      </c>
      <c r="AR27" s="68">
        <f>$K$17</f>
        <v>5</v>
      </c>
      <c r="AS27" s="69">
        <f>$L$18</f>
        <v>0</v>
      </c>
      <c r="AT27" s="68">
        <f>IF($L$20=0,"",$L$20)</f>
      </c>
      <c r="AU27" s="68">
        <f>IF($P$20=0,"",$P$20)</f>
      </c>
      <c r="AV27" s="68">
        <f>IF($N$20=0,"",$N$20)</f>
      </c>
      <c r="AW27" s="70">
        <f>$O$20</f>
      </c>
      <c r="AX27" s="69">
        <f>$Q$18</f>
        <v>0</v>
      </c>
      <c r="AY27" s="75" t="e">
        <f t="shared" si="1"/>
        <v>#N/A</v>
      </c>
    </row>
    <row r="28" spans="1:51" ht="23.25" customHeight="1" thickBot="1">
      <c r="A28" s="1"/>
      <c r="F28" s="41"/>
      <c r="K28" s="6"/>
      <c r="P28" s="4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257" t="e">
        <f t="shared" si="2"/>
        <v>#N/A</v>
      </c>
      <c r="AH28" s="68">
        <v>3</v>
      </c>
      <c r="AI28" s="69">
        <f>$G$18</f>
        <v>0</v>
      </c>
      <c r="AJ28" s="68">
        <f>$G$20</f>
        <v>0</v>
      </c>
      <c r="AK28" s="68">
        <f>$F$20</f>
        <v>0</v>
      </c>
      <c r="AL28" s="68">
        <f>$I$20</f>
        <v>0</v>
      </c>
      <c r="AM28" s="70">
        <f>$J$20</f>
      </c>
      <c r="AN28" s="69">
        <f>$B$18</f>
        <v>0</v>
      </c>
      <c r="AO28" s="67" t="e">
        <f t="shared" si="3"/>
        <v>#N/A</v>
      </c>
      <c r="AP28" s="239" t="e">
        <f>AQ28&amp;3</f>
        <v>#N/A</v>
      </c>
      <c r="AQ28" s="67" t="e">
        <f t="shared" si="0"/>
        <v>#N/A</v>
      </c>
      <c r="AR28" s="68">
        <f>$V$24</f>
        <v>9</v>
      </c>
      <c r="AS28" s="69">
        <f>$AB$25</f>
        <v>0</v>
      </c>
      <c r="AT28" s="68">
        <f>IF($AB$27=0,"",$AB$27)</f>
      </c>
      <c r="AU28" s="68">
        <f>IF($AA$27=0,"",$AA$27)</f>
      </c>
      <c r="AV28" s="68">
        <f>IF($AD$27=0,"",$AD$27)</f>
      </c>
      <c r="AW28" s="70">
        <f>$AE$27</f>
      </c>
      <c r="AX28" s="69">
        <f>$W$25</f>
        <v>0</v>
      </c>
      <c r="AY28" s="75" t="e">
        <f t="shared" si="1"/>
        <v>#N/A</v>
      </c>
    </row>
    <row r="29" spans="2:51" ht="38.25" customHeight="1" thickTop="1">
      <c r="B29" s="19"/>
      <c r="C29" s="19"/>
      <c r="D29" s="19"/>
      <c r="E29" s="19"/>
      <c r="F29" s="19"/>
      <c r="G29" s="19"/>
      <c r="H29" s="19"/>
      <c r="I29" s="19"/>
      <c r="J29" s="213"/>
      <c r="K29" s="213"/>
      <c r="L29" s="213"/>
      <c r="M29" s="19"/>
      <c r="N29" s="19"/>
      <c r="O29" s="19"/>
      <c r="P29" s="42"/>
      <c r="Q29" s="19"/>
      <c r="R29" s="19"/>
      <c r="S29" s="19"/>
      <c r="T29" s="19"/>
      <c r="U29" s="19"/>
      <c r="Y29" s="384" t="s">
        <v>150</v>
      </c>
      <c r="Z29" s="498" t="s">
        <v>81</v>
      </c>
      <c r="AA29" s="499"/>
      <c r="AB29" s="248"/>
      <c r="AC29" s="249"/>
      <c r="AD29" s="249"/>
      <c r="AE29" s="249"/>
      <c r="AG29" s="257" t="e">
        <f t="shared" si="2"/>
        <v>#N/A</v>
      </c>
      <c r="AH29" s="68">
        <v>4</v>
      </c>
      <c r="AI29" s="69">
        <f>$AB$11</f>
        <v>0</v>
      </c>
      <c r="AJ29" s="68">
        <f>$AB$13</f>
        <v>0</v>
      </c>
      <c r="AK29" s="68">
        <f>$AA$13</f>
        <v>0</v>
      </c>
      <c r="AL29" s="68">
        <f>$AD$13</f>
        <v>0</v>
      </c>
      <c r="AM29" s="70">
        <f>$AE$13</f>
      </c>
      <c r="AN29" s="69">
        <f>$W$11</f>
        <v>0</v>
      </c>
      <c r="AO29" s="67" t="e">
        <f t="shared" si="3"/>
        <v>#N/A</v>
      </c>
      <c r="AP29" s="239" t="e">
        <f>AQ29&amp;4</f>
        <v>#N/A</v>
      </c>
      <c r="AQ29" s="67" t="e">
        <f t="shared" si="0"/>
        <v>#N/A</v>
      </c>
      <c r="AR29" s="68">
        <f>$A$31</f>
        <v>10</v>
      </c>
      <c r="AS29" s="69">
        <f>$B$32</f>
        <v>0</v>
      </c>
      <c r="AT29" s="68">
        <f>IF($B$34=0,"",$B$34)</f>
      </c>
      <c r="AU29" s="68">
        <f>IF($F$34=0,"",$F$34)</f>
      </c>
      <c r="AV29" s="68">
        <f>IF($D$34=0,"",$D$34)</f>
      </c>
      <c r="AW29" s="70">
        <f>$E$34</f>
      </c>
      <c r="AX29" s="69">
        <f>$G$32</f>
        <v>0</v>
      </c>
      <c r="AY29" s="75" t="e">
        <f t="shared" si="1"/>
        <v>#N/A</v>
      </c>
    </row>
    <row r="30" spans="1:51" ht="31.5" customHeight="1" thickBot="1">
      <c r="A30" s="1"/>
      <c r="F30" s="41"/>
      <c r="K30" s="6"/>
      <c r="P30" s="41"/>
      <c r="U30" s="253"/>
      <c r="V30" s="250"/>
      <c r="W30" s="250"/>
      <c r="X30" s="250"/>
      <c r="Y30" s="250"/>
      <c r="Z30" s="251"/>
      <c r="AA30" s="250"/>
      <c r="AB30" s="252"/>
      <c r="AC30" s="250"/>
      <c r="AD30" s="250"/>
      <c r="AE30" s="250"/>
      <c r="AF30" s="250"/>
      <c r="AG30" s="257" t="e">
        <f t="shared" si="2"/>
        <v>#N/A</v>
      </c>
      <c r="AH30" s="68">
        <v>5</v>
      </c>
      <c r="AI30" s="69">
        <f>$Q$18</f>
        <v>0</v>
      </c>
      <c r="AJ30" s="68">
        <f>$Q$20</f>
        <v>0</v>
      </c>
      <c r="AK30" s="68">
        <f>$P$20</f>
        <v>0</v>
      </c>
      <c r="AL30" s="68">
        <f>$S$20</f>
        <v>0</v>
      </c>
      <c r="AM30" s="70">
        <f>$T$20</f>
      </c>
      <c r="AN30" s="69">
        <f>$L$18</f>
        <v>0</v>
      </c>
      <c r="AO30" s="67" t="e">
        <f t="shared" si="3"/>
        <v>#N/A</v>
      </c>
      <c r="AP30" s="241" t="e">
        <f>AQ30&amp;5</f>
        <v>#N/A</v>
      </c>
      <c r="AQ30" s="242" t="e">
        <f t="shared" si="0"/>
        <v>#N/A</v>
      </c>
      <c r="AR30" s="243">
        <f>$K$38</f>
        <v>14</v>
      </c>
      <c r="AS30" s="244">
        <f>$Q$39</f>
        <v>0</v>
      </c>
      <c r="AT30" s="243">
        <f>IF($Q$41=0,"",$Q$41)</f>
      </c>
      <c r="AU30" s="243">
        <f>IF($P$41=0,"",$P$41)</f>
      </c>
      <c r="AV30" s="243">
        <f>IF($S$41=0,"",$S$41)</f>
      </c>
      <c r="AW30" s="245">
        <f>$T$41</f>
      </c>
      <c r="AX30" s="244">
        <f>$L$39</f>
        <v>0</v>
      </c>
      <c r="AY30" s="246" t="e">
        <f t="shared" si="1"/>
        <v>#N/A</v>
      </c>
    </row>
    <row r="31" spans="1:51" ht="28.5" customHeight="1">
      <c r="A31" s="1">
        <v>10</v>
      </c>
      <c r="B31" s="35"/>
      <c r="C31" s="46" t="s">
        <v>48</v>
      </c>
      <c r="D31" s="36"/>
      <c r="E31" s="36"/>
      <c r="F31" s="46" t="str">
        <f>IF($Z$29="OUI","match1/2","match 4/5")</f>
        <v>match 4/5</v>
      </c>
      <c r="G31" s="36"/>
      <c r="H31" s="224"/>
      <c r="I31" s="46" t="s">
        <v>51</v>
      </c>
      <c r="J31" s="225"/>
      <c r="K31" s="1">
        <v>11</v>
      </c>
      <c r="L31" s="35"/>
      <c r="M31" s="46" t="s">
        <v>48</v>
      </c>
      <c r="N31" s="36"/>
      <c r="O31" s="36"/>
      <c r="P31" s="46" t="str">
        <f>IF($Z$29="OUI","match3/4","match 1/3")</f>
        <v>match 1/3</v>
      </c>
      <c r="Q31" s="36"/>
      <c r="R31" s="224"/>
      <c r="S31" s="46" t="s">
        <v>36</v>
      </c>
      <c r="T31" s="225"/>
      <c r="U31" s="370"/>
      <c r="V31" s="1">
        <v>12</v>
      </c>
      <c r="W31" s="35"/>
      <c r="X31" s="46" t="s">
        <v>48</v>
      </c>
      <c r="Y31" s="36"/>
      <c r="Z31" s="36"/>
      <c r="AA31" s="46" t="str">
        <f>IF($Z$29="OUI","match5/6","match 2/6")</f>
        <v>match 2/6</v>
      </c>
      <c r="AB31" s="36"/>
      <c r="AC31" s="224"/>
      <c r="AD31" s="46" t="s">
        <v>78</v>
      </c>
      <c r="AE31" s="225"/>
      <c r="AF31" s="370"/>
      <c r="AG31" s="256" t="e">
        <f t="shared" si="2"/>
        <v>#N/A</v>
      </c>
      <c r="AH31" s="63">
        <v>6</v>
      </c>
      <c r="AI31" s="63">
        <f>$AB$18</f>
        <v>0</v>
      </c>
      <c r="AJ31" s="63">
        <f>$AB$20</f>
        <v>0</v>
      </c>
      <c r="AK31" s="63">
        <f>$AA$20</f>
        <v>0</v>
      </c>
      <c r="AL31" s="63">
        <f>$AD$20</f>
        <v>0</v>
      </c>
      <c r="AM31" s="63">
        <f>$AE$20</f>
      </c>
      <c r="AN31" s="63">
        <f>$W$18</f>
        <v>0</v>
      </c>
      <c r="AO31" s="162" t="e">
        <f t="shared" si="3"/>
        <v>#N/A</v>
      </c>
      <c r="AP31" s="247" t="e">
        <f>AQ31&amp;1</f>
        <v>#N/A</v>
      </c>
      <c r="AQ31" s="234" t="e">
        <f t="shared" si="0"/>
        <v>#N/A</v>
      </c>
      <c r="AR31" s="227">
        <f>$V$10</f>
        <v>3</v>
      </c>
      <c r="AS31" s="227">
        <f>$AB$11</f>
        <v>0</v>
      </c>
      <c r="AT31" s="235">
        <f>IF($AB$13=0,"",$AB$13)</f>
      </c>
      <c r="AU31" s="235">
        <f>IF($AA$13=0,"",$AA$13)</f>
      </c>
      <c r="AV31" s="235">
        <f>IF($AD$13=0,"",$AD$13)</f>
      </c>
      <c r="AW31" s="237">
        <f>$AE$13</f>
      </c>
      <c r="AX31" s="227">
        <f>$W$11</f>
        <v>0</v>
      </c>
      <c r="AY31" s="238" t="e">
        <f t="shared" si="1"/>
        <v>#N/A</v>
      </c>
    </row>
    <row r="32" spans="1:51" ht="33" customHeight="1">
      <c r="A32" s="71">
        <f>IF($Z$29="OUI",1,4)</f>
        <v>4</v>
      </c>
      <c r="B32" s="495">
        <f>VLOOKUP(A32,origine,2,FALSE)</f>
        <v>0</v>
      </c>
      <c r="C32" s="496"/>
      <c r="D32" s="496"/>
      <c r="E32" s="496"/>
      <c r="F32" s="44"/>
      <c r="G32" s="495">
        <f>VLOOKUP(A33,origine,2,FALSE)</f>
        <v>0</v>
      </c>
      <c r="H32" s="496"/>
      <c r="I32" s="496"/>
      <c r="J32" s="496"/>
      <c r="K32" s="369">
        <f>IF(A32=4,1,3)</f>
        <v>1</v>
      </c>
      <c r="L32" s="495">
        <f>VLOOKUP(K32,origine,2,FALSE)</f>
        <v>0</v>
      </c>
      <c r="M32" s="496"/>
      <c r="N32" s="496"/>
      <c r="O32" s="496"/>
      <c r="P32" s="44"/>
      <c r="Q32" s="495">
        <f>VLOOKUP(K33,origine,2,FALSE)</f>
        <v>0</v>
      </c>
      <c r="R32" s="496"/>
      <c r="S32" s="496"/>
      <c r="T32" s="496"/>
      <c r="U32" s="370"/>
      <c r="V32">
        <f>IF(A32=4,2,5)</f>
        <v>2</v>
      </c>
      <c r="W32" s="495">
        <f>VLOOKUP(V32,origine,2,FALSE)</f>
        <v>0</v>
      </c>
      <c r="X32" s="496"/>
      <c r="Y32" s="496"/>
      <c r="Z32" s="496"/>
      <c r="AA32" s="43"/>
      <c r="AB32" s="495">
        <f>VLOOKUP(V33,origine,2,FALSE)</f>
        <v>0</v>
      </c>
      <c r="AC32" s="496"/>
      <c r="AD32" s="496"/>
      <c r="AE32" s="496"/>
      <c r="AF32" s="370"/>
      <c r="AG32" s="257" t="e">
        <f t="shared" si="2"/>
        <v>#N/A</v>
      </c>
      <c r="AH32" s="64">
        <v>7</v>
      </c>
      <c r="AI32" s="65">
        <f>$G$25</f>
        <v>0</v>
      </c>
      <c r="AJ32" s="64">
        <f>$G$27</f>
        <v>0</v>
      </c>
      <c r="AK32" s="64">
        <f>$F$27</f>
        <v>0</v>
      </c>
      <c r="AL32" s="64">
        <f>$I$27</f>
        <v>0</v>
      </c>
      <c r="AM32" s="66">
        <f>$J$27</f>
      </c>
      <c r="AN32" s="65">
        <f>$B$25</f>
        <v>0</v>
      </c>
      <c r="AO32" s="67" t="e">
        <f t="shared" si="3"/>
        <v>#N/A</v>
      </c>
      <c r="AP32" s="239" t="e">
        <f>AQ32&amp;2</f>
        <v>#N/A</v>
      </c>
      <c r="AQ32" s="67" t="e">
        <f t="shared" si="0"/>
        <v>#N/A</v>
      </c>
      <c r="AR32" s="68">
        <f>$A$17</f>
        <v>4</v>
      </c>
      <c r="AS32" s="69">
        <f>$G$18</f>
        <v>0</v>
      </c>
      <c r="AT32" s="68">
        <f>IF($G$20=0,"",$G$20)</f>
      </c>
      <c r="AU32" s="68">
        <f>IF($F$20=0,"",$F$20)</f>
      </c>
      <c r="AV32" s="68">
        <f>IF($I$20=0,"",$I$20)</f>
      </c>
      <c r="AW32" s="70">
        <f>$J$20</f>
      </c>
      <c r="AX32" s="69">
        <f>$B$18</f>
        <v>0</v>
      </c>
      <c r="AY32" s="75" t="e">
        <f t="shared" si="1"/>
        <v>#N/A</v>
      </c>
    </row>
    <row r="33" spans="1:51" ht="25.5" customHeight="1">
      <c r="A33" s="1">
        <f>IF($Z$29="OUI",2,5)</f>
        <v>5</v>
      </c>
      <c r="B33" s="8" t="s">
        <v>5</v>
      </c>
      <c r="C33" s="9" t="s">
        <v>4</v>
      </c>
      <c r="D33" s="10" t="s">
        <v>6</v>
      </c>
      <c r="E33" s="10" t="s">
        <v>7</v>
      </c>
      <c r="F33" s="12" t="s">
        <v>8</v>
      </c>
      <c r="G33" s="10" t="s">
        <v>5</v>
      </c>
      <c r="H33" s="9" t="s">
        <v>4</v>
      </c>
      <c r="I33" s="10" t="s">
        <v>6</v>
      </c>
      <c r="J33" s="11" t="s">
        <v>7</v>
      </c>
      <c r="K33" s="369">
        <f>IF(A33=5,3,4)</f>
        <v>3</v>
      </c>
      <c r="L33" s="8" t="s">
        <v>5</v>
      </c>
      <c r="M33" s="14" t="s">
        <v>4</v>
      </c>
      <c r="N33" s="10" t="s">
        <v>6</v>
      </c>
      <c r="O33" s="11" t="s">
        <v>7</v>
      </c>
      <c r="P33" s="12" t="s">
        <v>8</v>
      </c>
      <c r="Q33" s="8" t="s">
        <v>5</v>
      </c>
      <c r="R33" s="14" t="s">
        <v>4</v>
      </c>
      <c r="S33" s="10" t="s">
        <v>6</v>
      </c>
      <c r="T33" s="11" t="s">
        <v>7</v>
      </c>
      <c r="U33" s="370"/>
      <c r="V33">
        <f>IF(A33=5,6,6)</f>
        <v>6</v>
      </c>
      <c r="W33" s="8" t="s">
        <v>5</v>
      </c>
      <c r="X33" s="14" t="s">
        <v>4</v>
      </c>
      <c r="Y33" s="10" t="s">
        <v>6</v>
      </c>
      <c r="Z33" s="10" t="s">
        <v>7</v>
      </c>
      <c r="AA33" s="12" t="s">
        <v>8</v>
      </c>
      <c r="AB33" s="10" t="s">
        <v>5</v>
      </c>
      <c r="AC33" s="14" t="s">
        <v>4</v>
      </c>
      <c r="AD33" s="10" t="s">
        <v>6</v>
      </c>
      <c r="AE33" s="11" t="s">
        <v>7</v>
      </c>
      <c r="AF33" s="370"/>
      <c r="AG33" s="257" t="e">
        <f t="shared" si="2"/>
        <v>#N/A</v>
      </c>
      <c r="AH33" s="64">
        <v>8</v>
      </c>
      <c r="AI33" s="65">
        <f>$Q$25</f>
        <v>0</v>
      </c>
      <c r="AJ33" s="64">
        <f>$Q$27</f>
        <v>0</v>
      </c>
      <c r="AK33" s="64">
        <f>$P$27</f>
        <v>0</v>
      </c>
      <c r="AL33" s="64">
        <f>$S$27</f>
        <v>0</v>
      </c>
      <c r="AM33" s="66">
        <f>$T$27</f>
      </c>
      <c r="AN33" s="65">
        <f>$L$25</f>
        <v>0</v>
      </c>
      <c r="AO33" s="67" t="e">
        <f t="shared" si="3"/>
        <v>#N/A</v>
      </c>
      <c r="AP33" s="239" t="e">
        <f>AQ33&amp;3</f>
        <v>#N/A</v>
      </c>
      <c r="AQ33" s="67" t="e">
        <f t="shared" si="0"/>
        <v>#N/A</v>
      </c>
      <c r="AR33" s="68">
        <f>$K$24</f>
        <v>8</v>
      </c>
      <c r="AS33" s="69">
        <f>$Q$25</f>
        <v>0</v>
      </c>
      <c r="AT33" s="68">
        <f>IF($Q$27=0,"",$Q$27)</f>
      </c>
      <c r="AU33" s="68">
        <f>IF($P$27=0,"",$P$27)</f>
      </c>
      <c r="AV33" s="68">
        <f>IF($S$27=0,"",$S$27)</f>
      </c>
      <c r="AW33" s="70">
        <f>$T$27</f>
      </c>
      <c r="AX33" s="69">
        <f>$L$25</f>
        <v>0</v>
      </c>
      <c r="AY33" s="75" t="e">
        <f t="shared" si="1"/>
        <v>#N/A</v>
      </c>
    </row>
    <row r="34" spans="1:51" ht="33.75" customHeight="1" thickBot="1">
      <c r="A34" s="1"/>
      <c r="B34" s="403"/>
      <c r="C34" s="417">
        <f>IF(F34=0,"",B34/F34)</f>
      </c>
      <c r="D34" s="404"/>
      <c r="E34" s="405">
        <f>IF(F34=0,"",IF(B34&gt;G34,2,IF(B34=G34,1,0)))</f>
      </c>
      <c r="F34" s="406"/>
      <c r="G34" s="403"/>
      <c r="H34" s="417">
        <f>IF(F34=0,"",G34/F34)</f>
      </c>
      <c r="I34" s="404"/>
      <c r="J34" s="405">
        <f>IF(F34=0,"",IF(G34&gt;B34,2,IF(G34=B34,1,0)))</f>
      </c>
      <c r="K34" s="407"/>
      <c r="L34" s="403"/>
      <c r="M34" s="417">
        <f>IF(P34=0,"",L34/P34)</f>
      </c>
      <c r="N34" s="404"/>
      <c r="O34" s="405">
        <f>IF(P34=0,"",IF(L34&gt;Q34,2,IF(L34=Q34,1,0)))</f>
      </c>
      <c r="P34" s="406"/>
      <c r="Q34" s="403"/>
      <c r="R34" s="417">
        <f>IF(P34=0,"",Q34/P34)</f>
      </c>
      <c r="S34" s="404"/>
      <c r="T34" s="405">
        <f>IF(P34=0,"",IF(Q34&gt;L34,2,IF(Q34=L34,1,0)))</f>
      </c>
      <c r="U34" s="239"/>
      <c r="V34" s="87"/>
      <c r="W34" s="403"/>
      <c r="X34" s="417">
        <f>IF(AA34=0,"",W34/AA34)</f>
      </c>
      <c r="Y34" s="404"/>
      <c r="Z34" s="405">
        <f>IF(AA34=0,"",IF(W34&gt;AB34,2,IF(W34=AB34,1,0)))</f>
      </c>
      <c r="AA34" s="406"/>
      <c r="AB34" s="403"/>
      <c r="AC34" s="417">
        <f>IF(AA34=0,"",AB34/AA34)</f>
      </c>
      <c r="AD34" s="404"/>
      <c r="AE34" s="405">
        <f>IF(AA34=0,"",IF(AB34&gt;W34,2,IF(AB34=W34,1,0)))</f>
      </c>
      <c r="AF34" s="370"/>
      <c r="AG34" s="257" t="e">
        <f t="shared" si="2"/>
        <v>#N/A</v>
      </c>
      <c r="AH34" s="64">
        <v>9</v>
      </c>
      <c r="AI34" s="65">
        <f>$AB$25</f>
        <v>0</v>
      </c>
      <c r="AJ34" s="64">
        <f>$AB$27</f>
        <v>0</v>
      </c>
      <c r="AK34" s="64">
        <f>$AA$27</f>
        <v>0</v>
      </c>
      <c r="AL34" s="64">
        <f>$AD$27</f>
        <v>0</v>
      </c>
      <c r="AM34" s="66">
        <f>$AE$27</f>
      </c>
      <c r="AN34" s="65">
        <f>$W$25</f>
        <v>0</v>
      </c>
      <c r="AO34" s="67" t="e">
        <f t="shared" si="3"/>
        <v>#N/A</v>
      </c>
      <c r="AP34" s="239" t="e">
        <f>AQ34&amp;4</f>
        <v>#N/A</v>
      </c>
      <c r="AQ34" s="67" t="e">
        <f t="shared" si="0"/>
        <v>#N/A</v>
      </c>
      <c r="AR34" s="68">
        <f>$A$31</f>
        <v>10</v>
      </c>
      <c r="AS34" s="69">
        <f>$G$32</f>
        <v>0</v>
      </c>
      <c r="AT34" s="68">
        <f>IF($G$34=0,"",$G$34)</f>
      </c>
      <c r="AU34" s="68">
        <f>IF($F$34=0,"",$F$34)</f>
      </c>
      <c r="AV34" s="68">
        <f>IF($I$34=0,"",$I$34)</f>
      </c>
      <c r="AW34" s="70">
        <f>$J$34</f>
      </c>
      <c r="AX34" s="69">
        <f>$B$32</f>
        <v>0</v>
      </c>
      <c r="AY34" s="75" t="e">
        <f t="shared" si="1"/>
        <v>#N/A</v>
      </c>
    </row>
    <row r="35" spans="1:51" ht="23.25" customHeight="1" thickBot="1">
      <c r="A35" s="1"/>
      <c r="F35" s="41"/>
      <c r="K35" s="6"/>
      <c r="P35" s="4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257" t="e">
        <f t="shared" si="2"/>
        <v>#N/A</v>
      </c>
      <c r="AH35" s="68">
        <v>10</v>
      </c>
      <c r="AI35" s="69">
        <f>$G$32</f>
        <v>0</v>
      </c>
      <c r="AJ35" s="68">
        <f>$G$34</f>
        <v>0</v>
      </c>
      <c r="AK35" s="68">
        <f>$F$34</f>
        <v>0</v>
      </c>
      <c r="AL35" s="68">
        <f>$I$34</f>
        <v>0</v>
      </c>
      <c r="AM35" s="70">
        <f>$J$34</f>
      </c>
      <c r="AN35" s="69">
        <f>$B$32</f>
        <v>0</v>
      </c>
      <c r="AO35" s="67" t="e">
        <f t="shared" si="3"/>
        <v>#N/A</v>
      </c>
      <c r="AP35" s="241" t="e">
        <f>AQ35&amp;5</f>
        <v>#N/A</v>
      </c>
      <c r="AQ35" s="242" t="e">
        <f t="shared" si="0"/>
        <v>#N/A</v>
      </c>
      <c r="AR35" s="243">
        <v>15</v>
      </c>
      <c r="AS35" s="244">
        <f>$W$39</f>
        <v>0</v>
      </c>
      <c r="AT35" s="243">
        <f>IF($W$41=0,"",$W$41)</f>
      </c>
      <c r="AU35" s="243">
        <f>IF($AA$41=0,"",$AA$41)</f>
      </c>
      <c r="AV35" s="243">
        <f>IF($Y$41=0,"",$Y$41)</f>
      </c>
      <c r="AW35" s="245">
        <f>$Z$41</f>
      </c>
      <c r="AX35" s="244">
        <f>$AB$39</f>
        <v>0</v>
      </c>
      <c r="AY35" s="246" t="e">
        <f t="shared" si="1"/>
        <v>#N/A</v>
      </c>
    </row>
    <row r="36" spans="1:51" ht="38.25" customHeight="1" thickTop="1">
      <c r="A36" s="18"/>
      <c r="B36" s="19"/>
      <c r="C36" s="19"/>
      <c r="D36" s="19"/>
      <c r="E36" s="19"/>
      <c r="F36" s="42"/>
      <c r="G36" s="19"/>
      <c r="H36" s="19"/>
      <c r="I36" s="19"/>
      <c r="J36" s="213"/>
      <c r="K36" s="213"/>
      <c r="L36" s="213"/>
      <c r="M36" s="19"/>
      <c r="N36" s="19"/>
      <c r="O36" s="19"/>
      <c r="P36" s="42"/>
      <c r="Q36" s="19"/>
      <c r="R36" s="19"/>
      <c r="S36" s="19"/>
      <c r="T36" s="19"/>
      <c r="U36" s="19"/>
      <c r="AG36" s="257" t="e">
        <f t="shared" si="2"/>
        <v>#N/A</v>
      </c>
      <c r="AH36" s="68">
        <v>11</v>
      </c>
      <c r="AI36" s="69">
        <f>$Q$32</f>
        <v>0</v>
      </c>
      <c r="AJ36" s="68">
        <f>$Q$34</f>
        <v>0</v>
      </c>
      <c r="AK36" s="68">
        <f>$P$34</f>
        <v>0</v>
      </c>
      <c r="AL36" s="68">
        <f>$S$34</f>
        <v>0</v>
      </c>
      <c r="AM36" s="70">
        <f>$T$34</f>
      </c>
      <c r="AN36" s="69">
        <f>$L$32</f>
        <v>0</v>
      </c>
      <c r="AO36" s="67" t="e">
        <f t="shared" si="3"/>
        <v>#N/A</v>
      </c>
      <c r="AP36" s="233" t="e">
        <f>AQ36&amp;1</f>
        <v>#N/A</v>
      </c>
      <c r="AQ36" s="234" t="e">
        <f t="shared" si="0"/>
        <v>#N/A</v>
      </c>
      <c r="AR36" s="235">
        <f>$K$10</f>
        <v>2</v>
      </c>
      <c r="AS36" s="236">
        <f>$Q$11</f>
        <v>0</v>
      </c>
      <c r="AT36" s="235">
        <f>IF($Q$13=0,"",$Q$13)</f>
      </c>
      <c r="AU36" s="235">
        <f>IF($P$13=0,"",$P$13)</f>
      </c>
      <c r="AV36" s="235">
        <f>IF($S$13=0,"",$S$13)</f>
      </c>
      <c r="AW36" s="237">
        <f>$T$13</f>
      </c>
      <c r="AX36" s="236">
        <f>$L$11</f>
        <v>0</v>
      </c>
      <c r="AY36" s="238" t="e">
        <f t="shared" si="1"/>
        <v>#N/A</v>
      </c>
    </row>
    <row r="37" spans="1:51" ht="21.75" customHeight="1" thickBot="1">
      <c r="A37" s="1"/>
      <c r="F37" s="41"/>
      <c r="K37" s="6"/>
      <c r="P37" s="41"/>
      <c r="AG37" s="257" t="e">
        <f t="shared" si="2"/>
        <v>#N/A</v>
      </c>
      <c r="AH37" s="68">
        <v>12</v>
      </c>
      <c r="AI37" s="69">
        <f>$AB$32</f>
        <v>0</v>
      </c>
      <c r="AJ37" s="68">
        <f>$AB$34</f>
        <v>0</v>
      </c>
      <c r="AK37" s="68">
        <f>$AA$34</f>
        <v>0</v>
      </c>
      <c r="AL37" s="68">
        <f>$AD$34</f>
        <v>0</v>
      </c>
      <c r="AM37" s="70">
        <f>$AE$34</f>
      </c>
      <c r="AN37" s="69">
        <f>$W$32</f>
        <v>0</v>
      </c>
      <c r="AO37" s="67" t="e">
        <f t="shared" si="3"/>
        <v>#N/A</v>
      </c>
      <c r="AP37" s="239" t="e">
        <f>AQ37&amp;2</f>
        <v>#N/A</v>
      </c>
      <c r="AQ37" s="67" t="e">
        <f t="shared" si="0"/>
        <v>#N/A</v>
      </c>
      <c r="AR37" s="68">
        <f>$K$17</f>
        <v>5</v>
      </c>
      <c r="AS37" s="69">
        <f>$Q$18</f>
        <v>0</v>
      </c>
      <c r="AT37" s="68">
        <f>IF($Q$20=0,"",$Q$20)</f>
      </c>
      <c r="AU37" s="68">
        <f>IF($P$20=0,"",$P$20)</f>
      </c>
      <c r="AV37" s="68">
        <f>IF($S$20=0,"",$S$20)</f>
      </c>
      <c r="AW37" s="70">
        <f>$T$20</f>
      </c>
      <c r="AX37" s="69">
        <f>$L$18</f>
        <v>0</v>
      </c>
      <c r="AY37" s="75" t="e">
        <f t="shared" si="1"/>
        <v>#N/A</v>
      </c>
    </row>
    <row r="38" spans="1:51" ht="28.5" customHeight="1">
      <c r="A38" s="1">
        <v>13</v>
      </c>
      <c r="B38" s="37"/>
      <c r="C38" s="45" t="s">
        <v>47</v>
      </c>
      <c r="D38" s="38"/>
      <c r="E38" s="38"/>
      <c r="F38" s="45" t="str">
        <f>IF($Z$29="OUI","match4/5","match 1/2")</f>
        <v>match 1/2</v>
      </c>
      <c r="G38" s="38"/>
      <c r="H38" s="226"/>
      <c r="I38" s="45" t="s">
        <v>51</v>
      </c>
      <c r="J38" s="39"/>
      <c r="K38" s="1">
        <v>14</v>
      </c>
      <c r="L38" s="37"/>
      <c r="M38" s="45" t="s">
        <v>47</v>
      </c>
      <c r="N38" s="38"/>
      <c r="O38" s="38"/>
      <c r="P38" s="45" t="str">
        <f>IF($Z$29="OUI","match1/3","match 3/4")</f>
        <v>match 3/4</v>
      </c>
      <c r="Q38" s="38"/>
      <c r="R38" s="226"/>
      <c r="S38" s="45" t="s">
        <v>36</v>
      </c>
      <c r="T38" s="39"/>
      <c r="U38" s="370"/>
      <c r="V38" s="1">
        <v>15</v>
      </c>
      <c r="W38" s="37"/>
      <c r="X38" s="45" t="s">
        <v>47</v>
      </c>
      <c r="Y38" s="38"/>
      <c r="Z38" s="38"/>
      <c r="AA38" s="45" t="str">
        <f>IF($Z$29="OUI","match2/6","match 5/6")</f>
        <v>match 5/6</v>
      </c>
      <c r="AB38" s="38"/>
      <c r="AC38" s="226"/>
      <c r="AD38" s="45" t="s">
        <v>78</v>
      </c>
      <c r="AE38" s="39"/>
      <c r="AF38" s="370"/>
      <c r="AG38" s="258" t="e">
        <f t="shared" si="2"/>
        <v>#N/A</v>
      </c>
      <c r="AH38" s="63">
        <v>13</v>
      </c>
      <c r="AI38" s="63">
        <f>$G$39</f>
        <v>0</v>
      </c>
      <c r="AJ38" s="63">
        <f>$G$41</f>
        <v>0</v>
      </c>
      <c r="AK38" s="63">
        <f>$F$41</f>
        <v>0</v>
      </c>
      <c r="AL38" s="63">
        <f>$I$41</f>
        <v>0</v>
      </c>
      <c r="AM38" s="63">
        <f>$J$41</f>
      </c>
      <c r="AN38" s="63">
        <f>$B$39</f>
        <v>0</v>
      </c>
      <c r="AO38" s="162" t="e">
        <f t="shared" si="3"/>
        <v>#N/A</v>
      </c>
      <c r="AP38" s="240" t="e">
        <f>AQ38&amp;3</f>
        <v>#N/A</v>
      </c>
      <c r="AQ38" s="67" t="e">
        <f t="shared" si="0"/>
        <v>#N/A</v>
      </c>
      <c r="AR38" s="162">
        <f>$A$24</f>
        <v>7</v>
      </c>
      <c r="AS38" s="162">
        <f>$G$25</f>
        <v>0</v>
      </c>
      <c r="AT38" s="68">
        <f>IF($G$27=0,"",$G$27)</f>
      </c>
      <c r="AU38" s="68">
        <f>IF($F$27=0,"",$F$27)</f>
      </c>
      <c r="AV38" s="68">
        <f>IF($I$27=0,"",$I$27)</f>
      </c>
      <c r="AW38" s="70">
        <f>$J$27</f>
      </c>
      <c r="AX38" s="162">
        <f>$B$25</f>
        <v>0</v>
      </c>
      <c r="AY38" s="75" t="e">
        <f t="shared" si="1"/>
        <v>#N/A</v>
      </c>
    </row>
    <row r="39" spans="1:51" ht="33" customHeight="1">
      <c r="A39" s="71">
        <f>IF($Z$29="OUI",4,1)</f>
        <v>1</v>
      </c>
      <c r="B39" s="495">
        <f>VLOOKUP(A39,origine,2,FALSE)</f>
        <v>0</v>
      </c>
      <c r="C39" s="496"/>
      <c r="D39" s="496"/>
      <c r="E39" s="496"/>
      <c r="F39" s="44"/>
      <c r="G39" s="495">
        <f>VLOOKUP(A40,origine,2,FALSE)</f>
        <v>0</v>
      </c>
      <c r="H39" s="496"/>
      <c r="I39" s="496"/>
      <c r="J39" s="496"/>
      <c r="K39" s="369">
        <f>IF(A39=1,3,1)</f>
        <v>3</v>
      </c>
      <c r="L39" s="495">
        <f>VLOOKUP(K39,origine,2,FALSE)</f>
        <v>0</v>
      </c>
      <c r="M39" s="496"/>
      <c r="N39" s="496"/>
      <c r="O39" s="496"/>
      <c r="P39" s="44"/>
      <c r="Q39" s="495">
        <f>VLOOKUP(K40,origine,2,FALSE)</f>
        <v>0</v>
      </c>
      <c r="R39" s="496"/>
      <c r="S39" s="496"/>
      <c r="T39" s="496"/>
      <c r="U39" s="370"/>
      <c r="V39">
        <f>IF(A39=1,5,2)</f>
        <v>5</v>
      </c>
      <c r="W39" s="495">
        <f>VLOOKUP(V39,origine,2,FALSE)</f>
        <v>0</v>
      </c>
      <c r="X39" s="496"/>
      <c r="Y39" s="496"/>
      <c r="Z39" s="496"/>
      <c r="AA39" s="43"/>
      <c r="AB39" s="495">
        <f>VLOOKUP(V40,origine,2,FALSE)</f>
        <v>0</v>
      </c>
      <c r="AC39" s="496"/>
      <c r="AD39" s="496"/>
      <c r="AE39" s="496"/>
      <c r="AF39" s="370"/>
      <c r="AG39" s="257" t="e">
        <f t="shared" si="2"/>
        <v>#N/A</v>
      </c>
      <c r="AH39" s="64">
        <v>14</v>
      </c>
      <c r="AI39" s="65">
        <f>$Q$39</f>
        <v>0</v>
      </c>
      <c r="AJ39" s="64">
        <f>$Q$41</f>
        <v>0</v>
      </c>
      <c r="AK39" s="64">
        <f>$P$41</f>
        <v>0</v>
      </c>
      <c r="AL39" s="64">
        <f>$S$41</f>
        <v>0</v>
      </c>
      <c r="AM39" s="66">
        <f>$T$41</f>
      </c>
      <c r="AN39" s="65">
        <f>$L$39</f>
        <v>0</v>
      </c>
      <c r="AO39" s="67" t="e">
        <f t="shared" si="3"/>
        <v>#N/A</v>
      </c>
      <c r="AP39" s="239" t="e">
        <f>AQ39&amp;4</f>
        <v>#N/A</v>
      </c>
      <c r="AQ39" s="67" t="e">
        <f t="shared" si="0"/>
        <v>#N/A</v>
      </c>
      <c r="AR39" s="68">
        <f>$V$31</f>
        <v>12</v>
      </c>
      <c r="AS39" s="69">
        <f>$AB$32</f>
        <v>0</v>
      </c>
      <c r="AT39" s="68">
        <f>IF($AB$34=0,"",$AB$34)</f>
      </c>
      <c r="AU39" s="68">
        <f>IF($AA$34=0,"",$AA$34)</f>
      </c>
      <c r="AV39" s="68">
        <f>IF($AD$34=0,"",$AD$34)</f>
      </c>
      <c r="AW39" s="70">
        <f>$AE$34</f>
      </c>
      <c r="AX39" s="69">
        <f>$W$32</f>
        <v>0</v>
      </c>
      <c r="AY39" s="75" t="e">
        <f t="shared" si="1"/>
        <v>#N/A</v>
      </c>
    </row>
    <row r="40" spans="1:51" ht="25.5" customHeight="1" thickBot="1">
      <c r="A40" s="1">
        <f>IF($Z$29="OUI",5,2)</f>
        <v>2</v>
      </c>
      <c r="B40" s="8" t="s">
        <v>5</v>
      </c>
      <c r="C40" s="9" t="s">
        <v>4</v>
      </c>
      <c r="D40" s="10" t="s">
        <v>6</v>
      </c>
      <c r="E40" s="10" t="s">
        <v>7</v>
      </c>
      <c r="F40" s="12" t="s">
        <v>8</v>
      </c>
      <c r="G40" s="10" t="s">
        <v>5</v>
      </c>
      <c r="H40" s="9" t="s">
        <v>4</v>
      </c>
      <c r="I40" s="10" t="s">
        <v>6</v>
      </c>
      <c r="J40" s="11" t="s">
        <v>7</v>
      </c>
      <c r="K40" s="369">
        <f>IF(A40=2,4,3)</f>
        <v>4</v>
      </c>
      <c r="L40" s="8" t="s">
        <v>5</v>
      </c>
      <c r="M40" s="14" t="s">
        <v>4</v>
      </c>
      <c r="N40" s="10" t="s">
        <v>6</v>
      </c>
      <c r="O40" s="11" t="s">
        <v>7</v>
      </c>
      <c r="P40" s="12" t="s">
        <v>8</v>
      </c>
      <c r="Q40" s="8" t="s">
        <v>5</v>
      </c>
      <c r="R40" s="14" t="s">
        <v>4</v>
      </c>
      <c r="S40" s="10" t="s">
        <v>6</v>
      </c>
      <c r="T40" s="11" t="s">
        <v>7</v>
      </c>
      <c r="U40" s="370"/>
      <c r="V40">
        <f>IF(A40=2,6,6)</f>
        <v>6</v>
      </c>
      <c r="W40" s="8" t="s">
        <v>5</v>
      </c>
      <c r="X40" s="14" t="s">
        <v>4</v>
      </c>
      <c r="Y40" s="10" t="s">
        <v>6</v>
      </c>
      <c r="Z40" s="10" t="s">
        <v>7</v>
      </c>
      <c r="AA40" s="12" t="s">
        <v>8</v>
      </c>
      <c r="AB40" s="10" t="s">
        <v>5</v>
      </c>
      <c r="AC40" s="14" t="s">
        <v>4</v>
      </c>
      <c r="AD40" s="10" t="s">
        <v>6</v>
      </c>
      <c r="AE40" s="11" t="s">
        <v>7</v>
      </c>
      <c r="AF40" s="370"/>
      <c r="AG40" s="257" t="e">
        <f t="shared" si="2"/>
        <v>#N/A</v>
      </c>
      <c r="AH40" s="64">
        <v>15</v>
      </c>
      <c r="AI40" s="65">
        <f>$AB$39</f>
        <v>0</v>
      </c>
      <c r="AJ40" s="64">
        <f>$AB$41</f>
        <v>0</v>
      </c>
      <c r="AK40" s="64">
        <f>$AA$41</f>
        <v>0</v>
      </c>
      <c r="AL40" s="64">
        <f>$AD$41</f>
        <v>0</v>
      </c>
      <c r="AM40" s="66">
        <f>$AE$41</f>
      </c>
      <c r="AN40" s="65">
        <f>$W$39</f>
        <v>0</v>
      </c>
      <c r="AO40" s="67" t="e">
        <f t="shared" si="3"/>
        <v>#N/A</v>
      </c>
      <c r="AP40" s="241" t="e">
        <f>AQ40&amp;5</f>
        <v>#N/A</v>
      </c>
      <c r="AQ40" s="242" t="e">
        <f t="shared" si="0"/>
        <v>#N/A</v>
      </c>
      <c r="AR40" s="243">
        <f>$V$38</f>
        <v>15</v>
      </c>
      <c r="AS40" s="244">
        <f>$AB$39</f>
        <v>0</v>
      </c>
      <c r="AT40" s="243">
        <f>IF($AB$41=0,"",$AB$41)</f>
      </c>
      <c r="AU40" s="243">
        <f>IF($AA$41=0,"",$AA$41)</f>
      </c>
      <c r="AV40" s="243">
        <f>IF($AD$41=0,"",$AD$41)</f>
      </c>
      <c r="AW40" s="245">
        <f>$AE$41</f>
      </c>
      <c r="AX40" s="244">
        <f>$W$39</f>
        <v>0</v>
      </c>
      <c r="AY40" s="246" t="e">
        <f t="shared" si="1"/>
        <v>#N/A</v>
      </c>
    </row>
    <row r="41" spans="1:51" ht="33.75" customHeight="1" thickBot="1">
      <c r="A41" s="1"/>
      <c r="B41" s="403"/>
      <c r="C41" s="417">
        <f>IF(F41=0,"",B41/F41)</f>
      </c>
      <c r="D41" s="404"/>
      <c r="E41" s="405">
        <f>IF(F41=0,"",IF(B41&gt;G41,2,IF(B41=G41,1,0)))</f>
      </c>
      <c r="F41" s="406"/>
      <c r="G41" s="403"/>
      <c r="H41" s="417">
        <f>IF(F41=0,"",G41/F41)</f>
      </c>
      <c r="I41" s="404"/>
      <c r="J41" s="405">
        <f>IF(F41=0,"",IF(G41&gt;B41,2,IF(G41=B41,1,0)))</f>
      </c>
      <c r="K41" s="407"/>
      <c r="L41" s="403"/>
      <c r="M41" s="417">
        <f>IF(P41=0,"",L41/P41)</f>
      </c>
      <c r="N41" s="404"/>
      <c r="O41" s="405">
        <f>IF(P41=0,"",IF(L41&gt;Q41,2,IF(L41=Q41,1,0)))</f>
      </c>
      <c r="P41" s="406"/>
      <c r="Q41" s="403"/>
      <c r="R41" s="417">
        <f>IF(P41=0,"",Q41/P41)</f>
      </c>
      <c r="S41" s="404"/>
      <c r="T41" s="405">
        <f>IF(P41=0,"",IF(Q41&gt;L41,2,IF(Q41=L41,1,0)))</f>
      </c>
      <c r="U41" s="239"/>
      <c r="V41" s="87"/>
      <c r="W41" s="403"/>
      <c r="X41" s="417">
        <f>IF(AA41=0,"",W41/AA41)</f>
      </c>
      <c r="Y41" s="404"/>
      <c r="Z41" s="405">
        <f>IF(AA41=0,"",IF(W41&gt;AB41,2,IF(W41=AB41,1,0)))</f>
      </c>
      <c r="AA41" s="406"/>
      <c r="AB41" s="403"/>
      <c r="AC41" s="417">
        <f>IF(AA41=0,"",AB41/AA41)</f>
      </c>
      <c r="AD41" s="404"/>
      <c r="AE41" s="405">
        <f>IF(AA41=0,"",IF(AB41&gt;W41,2,IF(AB41=W41,1,0)))</f>
      </c>
      <c r="AF41" s="370"/>
      <c r="AG41" s="257"/>
      <c r="AH41" s="64"/>
      <c r="AI41" s="65"/>
      <c r="AJ41" s="64"/>
      <c r="AK41" s="64"/>
      <c r="AL41" s="64"/>
      <c r="AM41" s="66"/>
      <c r="AN41" s="65"/>
      <c r="AO41" s="75"/>
      <c r="AP41" s="73"/>
      <c r="AQ41" s="67"/>
      <c r="AR41" s="68"/>
      <c r="AS41" s="69"/>
      <c r="AT41" s="68"/>
      <c r="AU41" s="68"/>
      <c r="AV41" s="68"/>
      <c r="AW41" s="70"/>
      <c r="AX41" s="69"/>
      <c r="AY41" s="67"/>
    </row>
    <row r="42" spans="1:33" ht="23.25" customHeight="1">
      <c r="A42" s="1"/>
      <c r="B42" s="6"/>
      <c r="C42" s="6"/>
      <c r="D42" s="6"/>
      <c r="E42" s="6"/>
      <c r="F42" s="16"/>
      <c r="G42" s="6"/>
      <c r="H42" s="7"/>
      <c r="I42" s="6"/>
      <c r="J42" s="6"/>
      <c r="K42" s="1"/>
      <c r="P42" s="41"/>
      <c r="AG42" s="256"/>
    </row>
    <row r="43" spans="1:33" ht="38.25" customHeight="1">
      <c r="A43" s="6"/>
      <c r="B43" s="20"/>
      <c r="C43" s="20"/>
      <c r="D43" s="20"/>
      <c r="E43" s="20"/>
      <c r="F43" s="210"/>
      <c r="G43" s="20"/>
      <c r="H43" s="20"/>
      <c r="I43" s="20"/>
      <c r="J43" s="212"/>
      <c r="K43" s="212"/>
      <c r="L43" s="212"/>
      <c r="M43" s="20"/>
      <c r="N43" s="20"/>
      <c r="O43" s="20"/>
      <c r="P43" s="210"/>
      <c r="Q43" s="20"/>
      <c r="R43" s="20"/>
      <c r="S43" s="20"/>
      <c r="T43" s="20"/>
      <c r="U43" s="20"/>
      <c r="AG43" s="256"/>
    </row>
    <row r="44" spans="1:21" ht="23.25" customHeight="1">
      <c r="A44" s="6"/>
      <c r="B44" s="6"/>
      <c r="C44" s="7"/>
      <c r="D44" s="6"/>
      <c r="E44" s="6"/>
      <c r="F44" s="16"/>
      <c r="G44" s="6"/>
      <c r="H44" s="7"/>
      <c r="I44" s="6"/>
      <c r="J44" s="6"/>
      <c r="K44" s="6"/>
      <c r="L44" s="20"/>
      <c r="M44" s="20"/>
      <c r="N44" s="20"/>
      <c r="O44" s="20"/>
      <c r="P44" s="210"/>
      <c r="Q44" s="20"/>
      <c r="R44" s="20"/>
      <c r="S44" s="20"/>
      <c r="T44" s="20"/>
      <c r="U44" s="20"/>
    </row>
    <row r="45" spans="1:21" ht="18.75" customHeight="1">
      <c r="A45" s="6"/>
      <c r="B45" s="20"/>
      <c r="C45" s="20"/>
      <c r="D45" s="20"/>
      <c r="E45" s="20"/>
      <c r="F45" s="20"/>
      <c r="G45" s="20"/>
      <c r="H45" s="20"/>
      <c r="I45" s="20"/>
      <c r="J45" s="20"/>
      <c r="K45" s="17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29.25" customHeight="1">
      <c r="A46" s="211"/>
      <c r="B46" s="20"/>
      <c r="C46" s="20"/>
      <c r="D46" s="20"/>
      <c r="E46" s="20"/>
      <c r="F46" s="20"/>
      <c r="G46" s="20"/>
      <c r="H46" s="20"/>
      <c r="I46" s="20"/>
      <c r="J46" s="20"/>
      <c r="K46" s="25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8" customHeight="1">
      <c r="A47" s="6"/>
      <c r="B47" s="20"/>
      <c r="C47" s="20"/>
      <c r="D47" s="20"/>
      <c r="E47" s="20"/>
      <c r="F47" s="20"/>
      <c r="G47" s="20"/>
      <c r="H47" s="20"/>
      <c r="I47" s="20"/>
      <c r="J47" s="20"/>
      <c r="K47" s="25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26.25" customHeight="1">
      <c r="A48" s="6"/>
      <c r="B48" s="20"/>
      <c r="C48" s="20"/>
      <c r="D48" s="20"/>
      <c r="E48" s="20"/>
      <c r="F48" s="20"/>
      <c r="G48" s="20"/>
      <c r="H48" s="20"/>
      <c r="I48" s="20"/>
      <c r="J48" s="20"/>
      <c r="K48" s="6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23.25" customHeight="1">
      <c r="A49" s="6"/>
      <c r="B49" s="20"/>
      <c r="C49" s="20"/>
      <c r="D49" s="20"/>
      <c r="E49" s="20"/>
      <c r="F49" s="210"/>
      <c r="G49" s="20"/>
      <c r="H49" s="20"/>
      <c r="I49" s="20"/>
      <c r="J49" s="20"/>
      <c r="K49" s="6"/>
      <c r="L49" s="20"/>
      <c r="M49" s="20"/>
      <c r="N49" s="20"/>
      <c r="O49" s="20"/>
      <c r="P49" s="210"/>
      <c r="Q49" s="20"/>
      <c r="R49" s="20"/>
      <c r="S49" s="20"/>
      <c r="T49" s="20"/>
      <c r="U49" s="20"/>
    </row>
    <row r="50" spans="1:21" ht="38.25" customHeight="1">
      <c r="A50" s="6"/>
      <c r="B50" s="20"/>
      <c r="C50" s="20"/>
      <c r="D50" s="20"/>
      <c r="E50" s="20"/>
      <c r="F50" s="210"/>
      <c r="G50" s="20"/>
      <c r="H50" s="20"/>
      <c r="I50" s="20"/>
      <c r="J50" s="212"/>
      <c r="K50" s="212"/>
      <c r="L50" s="212"/>
      <c r="M50" s="20"/>
      <c r="N50" s="20"/>
      <c r="O50" s="20"/>
      <c r="P50" s="210"/>
      <c r="Q50" s="20"/>
      <c r="R50" s="20"/>
      <c r="S50" s="20"/>
      <c r="T50" s="20"/>
      <c r="U50" s="20"/>
    </row>
    <row r="51" spans="1:21" ht="23.25" customHeight="1">
      <c r="A51" s="6"/>
      <c r="B51" s="20"/>
      <c r="C51" s="20"/>
      <c r="D51" s="20"/>
      <c r="E51" s="20"/>
      <c r="F51" s="210"/>
      <c r="G51" s="20"/>
      <c r="H51" s="20"/>
      <c r="I51" s="20"/>
      <c r="J51" s="20"/>
      <c r="K51" s="6"/>
      <c r="L51" s="20"/>
      <c r="M51" s="20"/>
      <c r="N51" s="20"/>
      <c r="O51" s="20"/>
      <c r="P51" s="210"/>
      <c r="Q51" s="20"/>
      <c r="R51" s="20"/>
      <c r="S51" s="20"/>
      <c r="T51" s="20"/>
      <c r="U51" s="20"/>
    </row>
    <row r="52" spans="1:21" ht="18" customHeight="1">
      <c r="A52" s="6"/>
      <c r="B52" s="20"/>
      <c r="C52" s="20"/>
      <c r="D52" s="20"/>
      <c r="E52" s="20"/>
      <c r="F52" s="20"/>
      <c r="G52" s="20"/>
      <c r="H52" s="20"/>
      <c r="I52" s="20"/>
      <c r="J52" s="20"/>
      <c r="K52" s="17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29.25" customHeight="1">
      <c r="A53" s="211"/>
      <c r="B53" s="20"/>
      <c r="C53" s="20"/>
      <c r="D53" s="20"/>
      <c r="E53" s="20"/>
      <c r="F53" s="20"/>
      <c r="G53" s="20"/>
      <c r="H53" s="20"/>
      <c r="I53" s="20"/>
      <c r="J53" s="20"/>
      <c r="K53" s="25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7.25" customHeight="1">
      <c r="A54" s="6"/>
      <c r="B54" s="20"/>
      <c r="C54" s="20"/>
      <c r="D54" s="20"/>
      <c r="E54" s="20"/>
      <c r="F54" s="20"/>
      <c r="G54" s="20"/>
      <c r="H54" s="20"/>
      <c r="I54" s="20"/>
      <c r="J54" s="20"/>
      <c r="K54" s="25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27" customHeight="1">
      <c r="A55" s="6"/>
      <c r="B55" s="20"/>
      <c r="C55" s="20"/>
      <c r="D55" s="20"/>
      <c r="E55" s="20"/>
      <c r="F55" s="20"/>
      <c r="G55" s="20"/>
      <c r="H55" s="20"/>
      <c r="I55" s="20"/>
      <c r="J55" s="20"/>
      <c r="K55" s="6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23.25" customHeight="1">
      <c r="A56" s="6"/>
      <c r="B56" s="20"/>
      <c r="C56" s="20"/>
      <c r="D56" s="20"/>
      <c r="E56" s="20"/>
      <c r="F56" s="20"/>
      <c r="G56" s="20"/>
      <c r="H56" s="20"/>
      <c r="I56" s="20"/>
      <c r="J56" s="20"/>
      <c r="K56" s="6"/>
      <c r="L56" s="20"/>
      <c r="M56" s="20"/>
      <c r="N56" s="20"/>
      <c r="O56" s="20"/>
      <c r="P56" s="210"/>
      <c r="Q56" s="20"/>
      <c r="R56" s="20"/>
      <c r="S56" s="20"/>
      <c r="T56" s="20"/>
      <c r="U56" s="20"/>
    </row>
    <row r="57" spans="1:21" ht="38.25" customHeight="1">
      <c r="A57" s="6"/>
      <c r="B57" s="20"/>
      <c r="C57" s="20"/>
      <c r="D57" s="20"/>
      <c r="E57" s="20"/>
      <c r="F57" s="20"/>
      <c r="G57" s="20"/>
      <c r="H57" s="20"/>
      <c r="I57" s="20"/>
      <c r="J57" s="212"/>
      <c r="K57" s="212"/>
      <c r="L57" s="212"/>
      <c r="M57" s="20"/>
      <c r="N57" s="20"/>
      <c r="O57" s="20"/>
      <c r="P57" s="210"/>
      <c r="Q57" s="20"/>
      <c r="R57" s="20"/>
      <c r="S57" s="20"/>
      <c r="T57" s="20"/>
      <c r="U57" s="20"/>
    </row>
    <row r="58" spans="1:21" ht="23.25" customHeight="1">
      <c r="A58" s="6"/>
      <c r="B58" s="20"/>
      <c r="C58" s="20"/>
      <c r="D58" s="20"/>
      <c r="E58" s="20"/>
      <c r="F58" s="20"/>
      <c r="G58" s="20"/>
      <c r="H58" s="20"/>
      <c r="I58" s="20"/>
      <c r="J58" s="20"/>
      <c r="K58" s="6"/>
      <c r="L58" s="20"/>
      <c r="M58" s="20"/>
      <c r="N58" s="20"/>
      <c r="O58" s="20"/>
      <c r="P58" s="210"/>
      <c r="Q58" s="20"/>
      <c r="R58" s="20"/>
      <c r="S58" s="20"/>
      <c r="T58" s="20"/>
      <c r="U58" s="20"/>
    </row>
    <row r="59" spans="1:21" ht="18.75" customHeight="1">
      <c r="A59" s="6"/>
      <c r="B59" s="6"/>
      <c r="C59" s="26"/>
      <c r="D59" s="6"/>
      <c r="E59" s="6"/>
      <c r="F59" s="6"/>
      <c r="G59" s="6"/>
      <c r="H59" s="7"/>
      <c r="I59" s="6"/>
      <c r="J59" s="40"/>
      <c r="K59" s="6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29.25" customHeight="1">
      <c r="A60" s="6"/>
      <c r="B60" s="207"/>
      <c r="C60" s="207"/>
      <c r="D60" s="207"/>
      <c r="E60" s="207"/>
      <c r="F60" s="6"/>
      <c r="G60" s="6"/>
      <c r="H60" s="15"/>
      <c r="I60" s="25"/>
      <c r="J60" s="6"/>
      <c r="K60" s="25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7.25" customHeight="1">
      <c r="A61" s="6"/>
      <c r="B61" s="10"/>
      <c r="C61" s="14"/>
      <c r="D61" s="10"/>
      <c r="E61" s="10"/>
      <c r="F61" s="13"/>
      <c r="G61" s="10"/>
      <c r="H61" s="14"/>
      <c r="I61" s="25"/>
      <c r="J61" s="10"/>
      <c r="K61" s="25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27" customHeight="1">
      <c r="A62" s="6"/>
      <c r="B62" s="27"/>
      <c r="C62" s="28"/>
      <c r="D62" s="27"/>
      <c r="E62" s="29"/>
      <c r="F62" s="27"/>
      <c r="G62" s="27"/>
      <c r="H62" s="28"/>
      <c r="I62" s="27"/>
      <c r="J62" s="29"/>
      <c r="K62" s="6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5">
      <c r="A63" s="6"/>
      <c r="B63" s="20"/>
      <c r="C63" s="20"/>
      <c r="D63" s="20"/>
      <c r="E63" s="20"/>
      <c r="F63" s="20"/>
      <c r="G63" s="20"/>
      <c r="H63" s="20"/>
      <c r="I63" s="20"/>
      <c r="J63" s="20"/>
      <c r="K63" s="6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11" ht="15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2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2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2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2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2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2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2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2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heetProtection sheet="1" objects="1" scenarios="1"/>
  <mergeCells count="37">
    <mergeCell ref="A5:B7"/>
    <mergeCell ref="W11:Z11"/>
    <mergeCell ref="AB11:AE11"/>
    <mergeCell ref="B11:E11"/>
    <mergeCell ref="AD5:AE7"/>
    <mergeCell ref="G11:J11"/>
    <mergeCell ref="L11:O11"/>
    <mergeCell ref="Q11:T11"/>
    <mergeCell ref="AB39:AE39"/>
    <mergeCell ref="AB32:AE32"/>
    <mergeCell ref="AG7:AO7"/>
    <mergeCell ref="AP7:AY7"/>
    <mergeCell ref="AB18:AE18"/>
    <mergeCell ref="Q25:T25"/>
    <mergeCell ref="AB25:AE25"/>
    <mergeCell ref="W25:Z25"/>
    <mergeCell ref="W18:Z18"/>
    <mergeCell ref="W32:Z32"/>
    <mergeCell ref="B18:E18"/>
    <mergeCell ref="G18:J18"/>
    <mergeCell ref="L18:O18"/>
    <mergeCell ref="Q18:T18"/>
    <mergeCell ref="B32:E32"/>
    <mergeCell ref="L25:O25"/>
    <mergeCell ref="B25:E25"/>
    <mergeCell ref="G25:J25"/>
    <mergeCell ref="J22:L22"/>
    <mergeCell ref="W39:Z39"/>
    <mergeCell ref="J15:L15"/>
    <mergeCell ref="Z29:AA29"/>
    <mergeCell ref="B39:E39"/>
    <mergeCell ref="G32:J32"/>
    <mergeCell ref="G39:J39"/>
    <mergeCell ref="L32:O32"/>
    <mergeCell ref="L39:O39"/>
    <mergeCell ref="Q32:T32"/>
    <mergeCell ref="Q39:T39"/>
  </mergeCells>
  <conditionalFormatting sqref="B27 D27 F27:G27 I27 L27 N27 P27:Q27 S27 W27 Y27 B20 AA27:AB27 B34 D34 F34:G34 I34 L34 N34 AD27 P34:Q34 S34 W34 Y34 AA34:AB34 D20 F20:G20 I20 L20 N20 P20:Q20 AD34 S20 W20 Y20 AA20:AB20 AD20 B41 D41 F41:G41 I41 L41 N41 P41:Q41 S41 W41 Y41 AA41:AB41 AD41 B13 D13 F13:G13 I13 L13 N13 P13:Q13 S13 W13 Y13 AA13:AB13 AD13">
    <cfRule type="cellIs" priority="1" dxfId="7" operator="equal" stopIfTrue="1">
      <formula>$A$15</formula>
    </cfRule>
  </conditionalFormatting>
  <dataValidations count="4">
    <dataValidation allowBlank="1" showInputMessage="1" showErrorMessage="1" prompt="points" sqref="B13 G13 Q13 L13 L20 G20 B20 B27 G27 L27 Q27 Q34 L34 G34 B34 B41 G41 L41 Q41 W41 AB41 W34 AB34 AB27 W27 AB20 W20 W13 AB13"/>
    <dataValidation allowBlank="1" showInputMessage="1" showErrorMessage="1" prompt="série" sqref="D13 I13 N13 S13 S20 S27 N20 N27 I27 I20 D20 D27 S34 S41 N41 N34 I34 I41 D34 D41 AD41 AD34 Y34 Y41 AD27 Y27 Y20 AD20 Y13 AD13"/>
    <dataValidation allowBlank="1" showInputMessage="1" showErrorMessage="1" prompt="reprises" sqref="F13 P13 AA13 AA20 P20 F20 F27 P27 P34 F34 F41 P41 AA41 AA34 AA27"/>
    <dataValidation type="list" operator="equal" allowBlank="1" showInputMessage="1" showErrorMessage="1" promptTitle="Inverser??" prompt="OUI&#10;NON&#10;(en majuscules)&#10;" sqref="Z29:AA29">
      <formula1>"OUI,NON"</formula1>
    </dataValidation>
  </dataValidations>
  <printOptions horizontalCentered="1" verticalCentered="1"/>
  <pageMargins left="0" right="0" top="0.1968503937007874" bottom="0.1968503937007874" header="0" footer="0"/>
  <pageSetup horizontalDpi="300" verticalDpi="300" orientation="landscape" paperSize="9" scale="5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E49"/>
  <sheetViews>
    <sheetView showGridLines="0" showOutlineSymbols="0" zoomScale="75" zoomScaleNormal="75" zoomScalePageLayoutView="0" workbookViewId="0" topLeftCell="A1">
      <selection activeCell="C1" sqref="C1:T1"/>
    </sheetView>
  </sheetViews>
  <sheetFormatPr defaultColWidth="9.6640625" defaultRowHeight="15"/>
  <cols>
    <col min="1" max="1" width="1.88671875" style="0" customWidth="1"/>
    <col min="2" max="2" width="19.6640625" style="0" customWidth="1"/>
    <col min="3" max="3" width="7.6640625" style="0" customWidth="1"/>
    <col min="4" max="4" width="3.6640625" style="0" customWidth="1"/>
    <col min="5" max="6" width="7.6640625" style="0" customWidth="1"/>
    <col min="7" max="7" width="3.6640625" style="0" customWidth="1"/>
    <col min="8" max="9" width="7.6640625" style="0" customWidth="1"/>
    <col min="10" max="10" width="3.6640625" style="0" customWidth="1"/>
    <col min="11" max="12" width="7.6640625" style="0" customWidth="1"/>
    <col min="13" max="13" width="3.6640625" style="0" customWidth="1"/>
    <col min="14" max="14" width="7.6640625" style="0" customWidth="1"/>
    <col min="15" max="15" width="7.4453125" style="0" customWidth="1"/>
    <col min="16" max="16" width="3.6640625" style="0" customWidth="1"/>
    <col min="17" max="18" width="7.6640625" style="0" customWidth="1"/>
    <col min="19" max="19" width="3.6640625" style="0" customWidth="1"/>
    <col min="20" max="20" width="7.6640625" style="0" customWidth="1"/>
    <col min="21" max="21" width="6.99609375" style="0" customWidth="1"/>
    <col min="22" max="22" width="9.6640625" style="0" customWidth="1"/>
    <col min="23" max="23" width="13.6640625" style="0" bestFit="1" customWidth="1"/>
    <col min="24" max="24" width="6.5546875" style="0" bestFit="1" customWidth="1"/>
    <col min="25" max="25" width="6.77734375" style="0" bestFit="1" customWidth="1"/>
    <col min="26" max="26" width="8.5546875" style="0" bestFit="1" customWidth="1"/>
    <col min="27" max="27" width="10.3359375" style="0" bestFit="1" customWidth="1"/>
    <col min="28" max="28" width="8.5546875" style="0" bestFit="1" customWidth="1"/>
    <col min="29" max="29" width="7.88671875" style="0" bestFit="1" customWidth="1"/>
    <col min="30" max="31" width="6.77734375" style="0" bestFit="1" customWidth="1"/>
  </cols>
  <sheetData>
    <row r="1" spans="1:20" ht="64.5" thickBot="1">
      <c r="A1" s="1"/>
      <c r="B1" s="167"/>
      <c r="C1" s="507">
        <f>titre</f>
        <v>0</v>
      </c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</row>
    <row r="2" spans="1:20" ht="12.75" customHeight="1" thickTop="1">
      <c r="A2" s="1"/>
      <c r="B2" s="17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74"/>
      <c r="R2" s="50"/>
      <c r="S2" s="50"/>
      <c r="T2" s="51"/>
    </row>
    <row r="3" spans="1:20" ht="15.75" customHeight="1">
      <c r="A3" s="1"/>
      <c r="B3" s="174"/>
      <c r="C3" s="172"/>
      <c r="D3" s="199" t="s">
        <v>14</v>
      </c>
      <c r="E3" s="172"/>
      <c r="F3" s="172"/>
      <c r="G3" s="200" t="s">
        <v>15</v>
      </c>
      <c r="H3" s="173"/>
      <c r="I3" s="173"/>
      <c r="J3" s="508" t="s">
        <v>16</v>
      </c>
      <c r="K3" s="508"/>
      <c r="L3" s="172"/>
      <c r="M3" s="199" t="s">
        <v>17</v>
      </c>
      <c r="N3" s="53"/>
      <c r="P3" s="199" t="s">
        <v>45</v>
      </c>
      <c r="Q3" s="172"/>
      <c r="S3" s="199" t="s">
        <v>46</v>
      </c>
      <c r="T3" s="174"/>
    </row>
    <row r="4" spans="1:22" ht="23.25" customHeight="1">
      <c r="A4" s="1"/>
      <c r="B4" s="169"/>
      <c r="C4" s="168"/>
      <c r="D4" s="168" t="str">
        <f>modjeu</f>
        <v>3 BANDES</v>
      </c>
      <c r="E4" s="168"/>
      <c r="F4" s="168"/>
      <c r="G4" s="170" t="str">
        <f>design1</f>
        <v>REGIONALE 1</v>
      </c>
      <c r="H4" s="171"/>
      <c r="J4" s="509" t="str">
        <f>bill</f>
        <v>2m80</v>
      </c>
      <c r="K4" s="509"/>
      <c r="L4" s="54"/>
      <c r="M4" s="171" t="str">
        <f>DISTANCE&amp;" pts"</f>
        <v> pts</v>
      </c>
      <c r="N4" s="53"/>
      <c r="P4" s="171" t="str">
        <f>design2</f>
        <v>SOUS-DISTRICT</v>
      </c>
      <c r="Q4" s="170"/>
      <c r="S4" s="168" t="str">
        <f>poul</f>
        <v>UNIQUE</v>
      </c>
      <c r="T4" s="169"/>
      <c r="V4" s="474"/>
    </row>
    <row r="5" spans="1:20" ht="12.75" customHeight="1" thickBot="1">
      <c r="A5" s="1"/>
      <c r="B5" s="179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</row>
    <row r="6" spans="1:20" ht="14.25" customHeight="1" thickBot="1" thickTop="1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</row>
    <row r="7" spans="1:22" ht="21.75" customHeight="1">
      <c r="A7" s="1"/>
      <c r="B7" s="473"/>
      <c r="C7" s="513">
        <f>B8</f>
        <v>0</v>
      </c>
      <c r="D7" s="511"/>
      <c r="E7" s="514"/>
      <c r="F7" s="511">
        <f>B11</f>
        <v>0</v>
      </c>
      <c r="G7" s="511"/>
      <c r="H7" s="511"/>
      <c r="I7" s="510">
        <f>B14</f>
        <v>0</v>
      </c>
      <c r="J7" s="511"/>
      <c r="K7" s="512"/>
      <c r="L7" s="511">
        <f>B17</f>
        <v>0</v>
      </c>
      <c r="M7" s="511"/>
      <c r="N7" s="511"/>
      <c r="O7" s="510">
        <f>B20</f>
        <v>0</v>
      </c>
      <c r="P7" s="511"/>
      <c r="Q7" s="512"/>
      <c r="R7" s="511">
        <f>B23</f>
        <v>0</v>
      </c>
      <c r="S7" s="511"/>
      <c r="T7" s="519"/>
      <c r="V7" s="21"/>
    </row>
    <row r="8" spans="1:22" ht="21.75" customHeight="1">
      <c r="A8" s="1">
        <v>1</v>
      </c>
      <c r="B8" s="60">
        <f>VLOOKUP(A8,origine,2,FALSE)</f>
        <v>0</v>
      </c>
      <c r="C8" s="535"/>
      <c r="D8" s="536"/>
      <c r="E8" s="537"/>
      <c r="F8" s="133" t="e">
        <f>IF(VLOOKUP($F$7,un,1,FALSE)=$F$7,VLOOKUP($F$7,un,2,FALSE),"")</f>
        <v>#N/A</v>
      </c>
      <c r="G8" s="254" t="e">
        <f>VLOOKUP($F$7,un,10,FALSE)</f>
        <v>#N/A</v>
      </c>
      <c r="H8" s="135" t="e">
        <f>IF(VLOOKUP($F$7,un,1,FALSE)=$F$7,VLOOKUP($F$7,un,3,FALSE),"")</f>
        <v>#N/A</v>
      </c>
      <c r="I8" s="133" t="e">
        <f>IF(VLOOKUP($I$7,un,1,FALSE)=$I$7,VLOOKUP($I$7,un,2,FALSE),"")</f>
        <v>#N/A</v>
      </c>
      <c r="J8" s="254" t="e">
        <f>VLOOKUP($I$7,un,10,FALSE)</f>
        <v>#N/A</v>
      </c>
      <c r="K8" s="135" t="e">
        <f>IF(VLOOKUP($I$7,un,1,FALSE)=$I$7,VLOOKUP($I$7,un,3,FALSE),"")</f>
        <v>#N/A</v>
      </c>
      <c r="L8" s="133" t="e">
        <f>IF(VLOOKUP($L$7,un,1,FALSE)=$L$7,VLOOKUP($L$7,un,2,FALSE),"")</f>
        <v>#N/A</v>
      </c>
      <c r="M8" s="254" t="e">
        <f>VLOOKUP($L$7,un,10,FALSE)</f>
        <v>#N/A</v>
      </c>
      <c r="N8" s="135" t="e">
        <f>IF(VLOOKUP($L$7,un,1,FALSE)=$L$7,VLOOKUP($L$7,un,3,FALSE),"")</f>
        <v>#N/A</v>
      </c>
      <c r="O8" s="134" t="e">
        <f>IF(VLOOKUP($O$7,un,1,FALSE)=$O$7,VLOOKUP($O$7,un,2,FALSE),"")</f>
        <v>#N/A</v>
      </c>
      <c r="P8" s="254" t="e">
        <f>VLOOKUP($O$7,un,10,FALSE)</f>
        <v>#N/A</v>
      </c>
      <c r="Q8" s="134" t="e">
        <f>IF(VLOOKUP($O$7,un,1,FALSE)=$O$7,VLOOKUP($O$7,un,3,FALSE),"")</f>
        <v>#N/A</v>
      </c>
      <c r="R8" s="133" t="e">
        <f>IF(VLOOKUP($R$7,un,1,FALSE)=$R$7,VLOOKUP($R$7,un,2,FALSE),"")</f>
        <v>#N/A</v>
      </c>
      <c r="S8" s="254" t="e">
        <f>VLOOKUP($R$7,un,10,FALSE)</f>
        <v>#N/A</v>
      </c>
      <c r="T8" s="202" t="e">
        <f>IF(VLOOKUP($R$7,un,1,FALSE)=$R$7,VLOOKUP($R$7,un,3,FALSE),"")</f>
        <v>#N/A</v>
      </c>
      <c r="V8" s="3"/>
    </row>
    <row r="9" spans="1:20" ht="15.75" customHeight="1">
      <c r="A9" s="1"/>
      <c r="B9" s="218">
        <f>VLOOKUP(A8,origine,5,FALSE)</f>
        <v>0</v>
      </c>
      <c r="C9" s="538"/>
      <c r="D9" s="539"/>
      <c r="E9" s="540"/>
      <c r="F9" s="136"/>
      <c r="G9" s="220" t="e">
        <f>IF(VLOOKUP($F$7,un,1,FALSE)=$F$7,VLOOKUP($F$7,un,7,FALSE),"")</f>
        <v>#N/A</v>
      </c>
      <c r="H9" s="137"/>
      <c r="I9" s="136"/>
      <c r="J9" s="220" t="e">
        <f>IF(VLOOKUP($I$7,un,1,FALSE)=$I$7,VLOOKUP($I$7,un,7,FALSE),"")</f>
        <v>#N/A</v>
      </c>
      <c r="K9" s="137"/>
      <c r="L9" s="136"/>
      <c r="M9" s="220" t="e">
        <f>IF(VLOOKUP($L$7,un,1,FALSE)=$L$7,VLOOKUP($L$7,un,7,FALSE),"")</f>
        <v>#N/A</v>
      </c>
      <c r="N9" s="137"/>
      <c r="O9" s="136"/>
      <c r="P9" s="220" t="e">
        <f>IF(VLOOKUP($O$7,un,1,FALSE)=$O$7,VLOOKUP($O$7,un,7,FALSE),"")</f>
        <v>#N/A</v>
      </c>
      <c r="Q9" s="125"/>
      <c r="R9" s="136"/>
      <c r="S9" s="220" t="e">
        <f>IF(VLOOKUP($R$7,un,1,FALSE)=$R$7,VLOOKUP($R$7,un,7,FALSE),"")</f>
        <v>#N/A</v>
      </c>
      <c r="T9" s="203"/>
    </row>
    <row r="10" spans="1:22" ht="21" customHeight="1">
      <c r="A10" s="1"/>
      <c r="B10" s="371">
        <f>VLOOKUP(A8,origine,4,FALSE)</f>
        <v>0</v>
      </c>
      <c r="C10" s="541"/>
      <c r="D10" s="542"/>
      <c r="E10" s="543"/>
      <c r="F10" s="418" t="e">
        <f>IF(H8="","",+F8/H8)</f>
        <v>#N/A</v>
      </c>
      <c r="G10" s="138"/>
      <c r="H10" s="139" t="e">
        <f>IF(VLOOKUP($F$7,un,1,FALSE)=$F$7,VLOOKUP($F$7,un,6,FALSE),"")</f>
        <v>#N/A</v>
      </c>
      <c r="I10" s="418" t="e">
        <f>IF(K8="","",+I8/K8)</f>
        <v>#N/A</v>
      </c>
      <c r="J10" s="138"/>
      <c r="K10" s="139" t="e">
        <f>IF(VLOOKUP($I$7,un,1,FALSE)=$I$7,VLOOKUP($I$7,un,6,FALSE),"")</f>
        <v>#N/A</v>
      </c>
      <c r="L10" s="418" t="e">
        <f>IF(N8="","",+L8/N8)</f>
        <v>#N/A</v>
      </c>
      <c r="M10" s="138"/>
      <c r="N10" s="139" t="e">
        <f>IF(VLOOKUP($L$7,un,1,FALSE)=$L$7,VLOOKUP($L$7,un,6,FALSE),"")</f>
        <v>#N/A</v>
      </c>
      <c r="O10" s="418" t="e">
        <f>IF(Q8="","",+O8/Q8)</f>
        <v>#N/A</v>
      </c>
      <c r="P10" s="140"/>
      <c r="Q10" s="141" t="e">
        <f>IF(VLOOKUP($O$7,un,1,FALSE)=$O$7,VLOOKUP($O$7,un,6,FALSE),"")</f>
        <v>#N/A</v>
      </c>
      <c r="R10" s="418" t="e">
        <f>IF(T8="","",+R8/T8)</f>
        <v>#N/A</v>
      </c>
      <c r="S10" s="138"/>
      <c r="T10" s="204" t="e">
        <f>IF(VLOOKUP($R$7,un,1,FALSE)=$R$7,VLOOKUP($R$7,un,6,FALSE),"")</f>
        <v>#N/A</v>
      </c>
      <c r="V10" s="21"/>
    </row>
    <row r="11" spans="1:22" ht="21.75" customHeight="1">
      <c r="A11" s="1">
        <v>2</v>
      </c>
      <c r="B11" s="60">
        <f>VLOOKUP(A11,origine,2,FALSE)</f>
        <v>0</v>
      </c>
      <c r="C11" s="133" t="e">
        <f>IF(VLOOKUP($C$7,deu,1,FALSE)=$C$7,VLOOKUP($C$7,deu,2,FALSE),"")</f>
        <v>#N/A</v>
      </c>
      <c r="D11" s="254" t="e">
        <f>VLOOKUP($C$7,deu,10,FALSE)</f>
        <v>#N/A</v>
      </c>
      <c r="E11" s="135" t="e">
        <f>IF(VLOOKUP($C$7,deu,1,FALSE)=$C$7,VLOOKUP($C$7,deu,3,FALSE),"")</f>
        <v>#N/A</v>
      </c>
      <c r="F11" s="535"/>
      <c r="G11" s="536"/>
      <c r="H11" s="537"/>
      <c r="I11" s="133" t="e">
        <f>IF(VLOOKUP($I$7,deu,1,FALSE)=$I$7,VLOOKUP($I$7,deu,2,FALSE),"")</f>
        <v>#N/A</v>
      </c>
      <c r="J11" s="254" t="e">
        <f>VLOOKUP($I$7,deu,10,FALSE)</f>
        <v>#N/A</v>
      </c>
      <c r="K11" s="135" t="e">
        <f>IF(VLOOKUP($I$7,deu,1,FALSE)=$I$7,VLOOKUP($I$7,deu,3,FALSE),"")</f>
        <v>#N/A</v>
      </c>
      <c r="L11" s="133" t="e">
        <f>IF(VLOOKUP($L$7,deu,1,FALSE)=$L$7,VLOOKUP($L$7,deu,2,FALSE),"")</f>
        <v>#N/A</v>
      </c>
      <c r="M11" s="254" t="e">
        <f>VLOOKUP($L$7,deu,10,FALSE)</f>
        <v>#N/A</v>
      </c>
      <c r="N11" s="135" t="e">
        <f>IF(VLOOKUP($L$7,deu,1,FALSE)=$L$7,VLOOKUP($L$7,deu,3,FALSE),"")</f>
        <v>#N/A</v>
      </c>
      <c r="O11" s="133" t="e">
        <f>IF(VLOOKUP($O$7,deu,1,FALSE)=$O$7,VLOOKUP($O$7,deu,2,FALSE),"")</f>
        <v>#N/A</v>
      </c>
      <c r="P11" s="254" t="e">
        <f>VLOOKUP($O$7,deu,10,FALSE)</f>
        <v>#N/A</v>
      </c>
      <c r="Q11" s="134" t="e">
        <f>IF(VLOOKUP($O$7,deu,1,FALSE)=$O$7,VLOOKUP($O$7,deu,3,FALSE),"")</f>
        <v>#N/A</v>
      </c>
      <c r="R11" s="133" t="e">
        <f>IF(VLOOKUP($R$7,deu,1,FALSE)=$R$7,VLOOKUP($R$7,deu,2,FALSE),"")</f>
        <v>#N/A</v>
      </c>
      <c r="S11" s="254" t="e">
        <f>VLOOKUP($R$7,deu,10,FALSE)</f>
        <v>#N/A</v>
      </c>
      <c r="T11" s="202" t="e">
        <f>IF(VLOOKUP($R$7,deu,1,FALSE)=$R$7,VLOOKUP($R$7,deu,3,FALSE),"")</f>
        <v>#N/A</v>
      </c>
      <c r="V11" s="3"/>
    </row>
    <row r="12" spans="1:22" ht="15.75" customHeight="1">
      <c r="A12" s="1"/>
      <c r="B12" s="218">
        <f>VLOOKUP(A11,origine,5,FALSE)</f>
        <v>0</v>
      </c>
      <c r="C12" s="136"/>
      <c r="D12" s="220" t="e">
        <f>IF(VLOOKUP($C$7,deu,1,FALSE)=$C$7,VLOOKUP($C$7,deu,7,FALSE),"")</f>
        <v>#N/A</v>
      </c>
      <c r="E12" s="137"/>
      <c r="F12" s="538"/>
      <c r="G12" s="539"/>
      <c r="H12" s="540"/>
      <c r="I12" s="136"/>
      <c r="J12" s="220" t="e">
        <f>IF(VLOOKUP($I$7,deu,1,FALSE)=$I$7,VLOOKUP($I$7,deu,7,FALSE),"")</f>
        <v>#N/A</v>
      </c>
      <c r="K12" s="137"/>
      <c r="L12" s="136"/>
      <c r="M12" s="220" t="e">
        <f>IF(VLOOKUP($L$7,deu,1,FALSE)=$L$7,VLOOKUP($L$7,deu,7,FALSE),"")</f>
        <v>#N/A</v>
      </c>
      <c r="N12" s="137"/>
      <c r="O12" s="136"/>
      <c r="P12" s="220" t="e">
        <f>IF(VLOOKUP($O$7,deu,1,FALSE)=$O$7,VLOOKUP($O$7,deu,7,FALSE),"")</f>
        <v>#N/A</v>
      </c>
      <c r="Q12" s="125"/>
      <c r="R12" s="136"/>
      <c r="S12" s="220" t="e">
        <f>IF(VLOOKUP($R$7,deu,1,FALSE)=$R$7,VLOOKUP($R$7,deu,7,FALSE),"")</f>
        <v>#N/A</v>
      </c>
      <c r="T12" s="203"/>
      <c r="V12" s="1"/>
    </row>
    <row r="13" spans="1:22" ht="21" customHeight="1">
      <c r="A13" s="1"/>
      <c r="B13" s="371">
        <f>VLOOKUP(A11,origine,4,FALSE)</f>
        <v>0</v>
      </c>
      <c r="C13" s="418" t="e">
        <f>IF(E11="","",+C11/E11)</f>
        <v>#N/A</v>
      </c>
      <c r="D13" s="138"/>
      <c r="E13" s="139" t="e">
        <f>IF(VLOOKUP($C$7,deu,1,FALSE)=$C$7,VLOOKUP($C$7,deu,6,FALSE),"")</f>
        <v>#N/A</v>
      </c>
      <c r="F13" s="541"/>
      <c r="G13" s="542"/>
      <c r="H13" s="543"/>
      <c r="I13" s="418" t="e">
        <f>IF(K11="","",+I11/K11)</f>
        <v>#N/A</v>
      </c>
      <c r="J13" s="138"/>
      <c r="K13" s="139" t="e">
        <f>IF(VLOOKUP($I$7,deu,1,FALSE)=$I$7,VLOOKUP($I$7,deu,6,FALSE),"")</f>
        <v>#N/A</v>
      </c>
      <c r="L13" s="418" t="e">
        <f>IF(N11="","",+L11/N11)</f>
        <v>#N/A</v>
      </c>
      <c r="M13" s="138"/>
      <c r="N13" s="139" t="e">
        <f>IF(VLOOKUP($L$7,deu,1,FALSE)=$L$7,VLOOKUP($L$7,deu,6,FALSE),"")</f>
        <v>#N/A</v>
      </c>
      <c r="O13" s="418" t="e">
        <f>IF(Q11="","",+O11/Q11)</f>
        <v>#N/A</v>
      </c>
      <c r="P13" s="138"/>
      <c r="Q13" s="141" t="e">
        <f>IF(VLOOKUP($O$7,deu,1,FALSE)=$O$7,VLOOKUP($O$7,deu,6,FALSE),"")</f>
        <v>#N/A</v>
      </c>
      <c r="R13" s="418" t="e">
        <f>IF(T11="","",+R11/T11)</f>
        <v>#N/A</v>
      </c>
      <c r="S13" s="138"/>
      <c r="T13" s="204" t="e">
        <f>IF(VLOOKUP($R$7,deu,1,FALSE)=$R$7,VLOOKUP($R$7,deu,6,FALSE),"")</f>
        <v>#N/A</v>
      </c>
      <c r="V13" s="22"/>
    </row>
    <row r="14" spans="1:22" ht="21.75" customHeight="1">
      <c r="A14" s="1">
        <v>3</v>
      </c>
      <c r="B14" s="60">
        <f>VLOOKUP(A14,origine,2,FALSE)</f>
        <v>0</v>
      </c>
      <c r="C14" s="133" t="e">
        <f>IF(VLOOKUP($C$7,tro,1,FALSE)=$C$7,VLOOKUP($C$7,tro,2,FALSE),"")</f>
        <v>#N/A</v>
      </c>
      <c r="D14" s="254" t="e">
        <f>VLOOKUP($C$7,tro,10,FALSE)</f>
        <v>#N/A</v>
      </c>
      <c r="E14" s="135" t="e">
        <f>IF(VLOOKUP($C$7,tro,1,FALSE)=$C$7,VLOOKUP($C$7,tro,3,FALSE),"")</f>
        <v>#N/A</v>
      </c>
      <c r="F14" s="133" t="e">
        <f>IF(VLOOKUP($F$7,tro,1,FALSE)=$F$7,VLOOKUP($F$7,tro,2,FALSE),"")</f>
        <v>#N/A</v>
      </c>
      <c r="G14" s="254" t="e">
        <f>VLOOKUP($F$7,tro,10,FALSE)</f>
        <v>#N/A</v>
      </c>
      <c r="H14" s="135" t="e">
        <f>IF(VLOOKUP($F$7,tro,1,FALSE)=$F$7,VLOOKUP($F$7,tro,3,FALSE),"")</f>
        <v>#N/A</v>
      </c>
      <c r="I14" s="535"/>
      <c r="J14" s="536"/>
      <c r="K14" s="537"/>
      <c r="L14" s="133" t="e">
        <f>IF(VLOOKUP($L$7,tro,1,FALSE)=$L$7,VLOOKUP($L$7,tro,2,FALSE),"")</f>
        <v>#N/A</v>
      </c>
      <c r="M14" s="254" t="e">
        <f>VLOOKUP($L$7,tro,10,FALSE)</f>
        <v>#N/A</v>
      </c>
      <c r="N14" s="135" t="e">
        <f>IF(VLOOKUP($L$7,tro,1,FALSE)=$L$7,VLOOKUP($L$7,tro,3,FALSE),"")</f>
        <v>#N/A</v>
      </c>
      <c r="O14" s="134" t="e">
        <f>IF(VLOOKUP($O$7,tro,1,FALSE)=$O$7,VLOOKUP($O$7,tro,2,FALSE),"")</f>
        <v>#N/A</v>
      </c>
      <c r="P14" s="254" t="e">
        <f>VLOOKUP($O$7,tro,10,FALSE)</f>
        <v>#N/A</v>
      </c>
      <c r="Q14" s="134" t="e">
        <f>IF(VLOOKUP($O$7,tro,1,FALSE)=$O$7,VLOOKUP($O$7,tro,3,FALSE),"")</f>
        <v>#N/A</v>
      </c>
      <c r="R14" s="133" t="e">
        <f>IF(VLOOKUP($R$7,tro,1,FALSE)=$R$7,VLOOKUP($R$7,tro,2,FALSE),"")</f>
        <v>#N/A</v>
      </c>
      <c r="S14" s="254" t="e">
        <f>VLOOKUP($R$7,tro,10,FALSE)</f>
        <v>#N/A</v>
      </c>
      <c r="T14" s="202" t="e">
        <f>IF(VLOOKUP($R$7,tro,1,FALSE)=$R$7,VLOOKUP($R$7,tro,3,FALSE),"")</f>
        <v>#N/A</v>
      </c>
      <c r="V14" s="23"/>
    </row>
    <row r="15" spans="1:22" ht="15.75" customHeight="1">
      <c r="A15" s="1"/>
      <c r="B15" s="218">
        <f>VLOOKUP(A14,origine,5,FALSE)</f>
        <v>0</v>
      </c>
      <c r="C15" s="136"/>
      <c r="D15" s="220" t="e">
        <f>IF(VLOOKUP($C$7,tro,1,FALSE)=$C$7,VLOOKUP($C$7,tro,7,FALSE),"")</f>
        <v>#N/A</v>
      </c>
      <c r="E15" s="137"/>
      <c r="F15" s="136"/>
      <c r="G15" s="220" t="e">
        <f>IF(VLOOKUP($F$7,tro,1,FALSE)=$F$7,VLOOKUP($F$7,tro,7,FALSE),"")</f>
        <v>#N/A</v>
      </c>
      <c r="H15" s="137"/>
      <c r="I15" s="538"/>
      <c r="J15" s="539"/>
      <c r="K15" s="540"/>
      <c r="L15" s="136"/>
      <c r="M15" s="220" t="e">
        <f>IF(VLOOKUP($L$7,tro,1,FALSE)=$L$7,VLOOKUP($L$7,tro,7,FALSE),"")</f>
        <v>#N/A</v>
      </c>
      <c r="N15" s="137"/>
      <c r="O15" s="136"/>
      <c r="P15" s="220" t="e">
        <f>IF(VLOOKUP($O$7,tro,1,FALSE)=$O$7,VLOOKUP($O$7,tro,7,FALSE),"")</f>
        <v>#N/A</v>
      </c>
      <c r="Q15" s="125"/>
      <c r="R15" s="136"/>
      <c r="S15" s="220" t="e">
        <f>IF(VLOOKUP($R$7,tro,1,FALSE)=$R$7,VLOOKUP($R$7,tro,7,FALSE),"")</f>
        <v>#N/A</v>
      </c>
      <c r="T15" s="203"/>
      <c r="V15" s="1"/>
    </row>
    <row r="16" spans="1:22" ht="21.75" customHeight="1">
      <c r="A16" s="1"/>
      <c r="B16" s="371">
        <f>VLOOKUP(A14,origine,4,FALSE)</f>
        <v>0</v>
      </c>
      <c r="C16" s="418" t="e">
        <f>IF(E14="","",+C14/E14)</f>
        <v>#N/A</v>
      </c>
      <c r="D16" s="140"/>
      <c r="E16" s="139" t="e">
        <f>IF(VLOOKUP($C$7,tro,1,FALSE)=$C$7,VLOOKUP($C$7,tro,6,FALSE),"")</f>
        <v>#N/A</v>
      </c>
      <c r="F16" s="418" t="e">
        <f>IF(H14="","",+F14/H14)</f>
        <v>#N/A</v>
      </c>
      <c r="G16" s="138"/>
      <c r="H16" s="139" t="e">
        <f>IF(VLOOKUP($F$7,tro,1,FALSE)=$F$7,VLOOKUP($F$7,tro,6,FALSE),"")</f>
        <v>#N/A</v>
      </c>
      <c r="I16" s="541"/>
      <c r="J16" s="542"/>
      <c r="K16" s="543"/>
      <c r="L16" s="418" t="e">
        <f>IF(N14="","",+L14/N14)</f>
        <v>#N/A</v>
      </c>
      <c r="M16" s="138"/>
      <c r="N16" s="139" t="e">
        <f>IF(VLOOKUP($L$7,tro,1,FALSE)=$L$7,VLOOKUP($L$7,tro,6,FALSE),"")</f>
        <v>#N/A</v>
      </c>
      <c r="O16" s="418" t="e">
        <f>IF(Q14="","",+O14/Q14)</f>
        <v>#N/A</v>
      </c>
      <c r="P16" s="140"/>
      <c r="Q16" s="141" t="e">
        <f>IF(VLOOKUP($O$7,tro,1,FALSE)=$O$7,VLOOKUP($O$7,tro,6,FALSE),"")</f>
        <v>#N/A</v>
      </c>
      <c r="R16" s="418" t="e">
        <f>IF(T14="","",+R14/T14)</f>
        <v>#N/A</v>
      </c>
      <c r="S16" s="138"/>
      <c r="T16" s="204" t="e">
        <f>IF(VLOOKUP($R$7,tro,1,FALSE)=$R$7,VLOOKUP($R$7,tro,6,FALSE),"")</f>
        <v>#N/A</v>
      </c>
      <c r="V16" s="21"/>
    </row>
    <row r="17" spans="1:22" ht="21" customHeight="1">
      <c r="A17" s="1">
        <v>4</v>
      </c>
      <c r="B17" s="60">
        <f>VLOOKUP(A17,origine,2,FALSE)</f>
        <v>0</v>
      </c>
      <c r="C17" s="133" t="e">
        <f>IF(VLOOKUP($C$7,qua,1,FALSE)=$C$7,VLOOKUP($C$7,qua,2,FALSE),"")</f>
        <v>#N/A</v>
      </c>
      <c r="D17" s="254" t="e">
        <f>VLOOKUP(C$7,qua,10,FALSE)</f>
        <v>#N/A</v>
      </c>
      <c r="E17" s="135" t="e">
        <f>IF(VLOOKUP($C$7,qua,1,FALSE)=$C$7,VLOOKUP($C$7,qua,3,FALSE),"")</f>
        <v>#N/A</v>
      </c>
      <c r="F17" s="133" t="e">
        <f>IF(VLOOKUP($F$7,qua,1,FALSE)=$F$7,VLOOKUP($F$7,qua,2,FALSE),"")</f>
        <v>#N/A</v>
      </c>
      <c r="G17" s="254" t="e">
        <f>VLOOKUP(F$7,qua,10,FALSE)</f>
        <v>#N/A</v>
      </c>
      <c r="H17" s="135" t="e">
        <f>IF(VLOOKUP($F$7,qua,1,FALSE)=$F$7,VLOOKUP($F$7,qua,3,FALSE),"")</f>
        <v>#N/A</v>
      </c>
      <c r="I17" s="133" t="e">
        <f>IF(VLOOKUP($I$7,qua,1,FALSE)=$I$7,VLOOKUP($I$7,qua,2,FALSE),"")</f>
        <v>#N/A</v>
      </c>
      <c r="J17" s="254" t="e">
        <f>VLOOKUP(I$7,qua,10,FALSE)</f>
        <v>#N/A</v>
      </c>
      <c r="K17" s="135" t="e">
        <f>IF(VLOOKUP($I$7,qua,1,FALSE)=$I$7,VLOOKUP($I$7,qua,3,FALSE),"")</f>
        <v>#N/A</v>
      </c>
      <c r="L17" s="535"/>
      <c r="M17" s="536"/>
      <c r="N17" s="537"/>
      <c r="O17" s="134" t="e">
        <f>IF(VLOOKUP($O$7,qua,1,FALSE)=$O$7,VLOOKUP($O$7,qua,2,FALSE),"")</f>
        <v>#N/A</v>
      </c>
      <c r="P17" s="254" t="e">
        <f>VLOOKUP(O$7,qua,10,FALSE)</f>
        <v>#N/A</v>
      </c>
      <c r="Q17" s="134" t="e">
        <f>IF(VLOOKUP($O$7,qua,1,FALSE)=$O$7,VLOOKUP($O$7,qua,3,FALSE),"")</f>
        <v>#N/A</v>
      </c>
      <c r="R17" s="133" t="e">
        <f>IF(VLOOKUP($R$7,qua,1,FALSE)=$R$7,VLOOKUP($R$7,qua,2,FALSE),"")</f>
        <v>#N/A</v>
      </c>
      <c r="S17" s="254" t="e">
        <f>VLOOKUP(R$7,qua,10,FALSE)</f>
        <v>#N/A</v>
      </c>
      <c r="T17" s="202" t="e">
        <f>IF(VLOOKUP($R$7,qua,1,FALSE)=$R$7,VLOOKUP($R$7,qua,3,FALSE),"")</f>
        <v>#N/A</v>
      </c>
      <c r="U17" s="24"/>
      <c r="V17" s="23"/>
    </row>
    <row r="18" spans="1:22" ht="15.75" customHeight="1">
      <c r="A18" s="4"/>
      <c r="B18" s="218">
        <f>VLOOKUP(A17,origine,5,FALSE)</f>
        <v>0</v>
      </c>
      <c r="C18" s="136"/>
      <c r="D18" s="220" t="e">
        <f>IF(VLOOKUP($C$7,qua,1,FALSE)=$C$7,VLOOKUP($C$7,qua,7,FALSE),"")</f>
        <v>#N/A</v>
      </c>
      <c r="E18" s="137"/>
      <c r="F18" s="136"/>
      <c r="G18" s="220" t="e">
        <f>IF(VLOOKUP($F$7,qua,1,FALSE)=$F$7,VLOOKUP($F$7,qua,7,FALSE),"")</f>
        <v>#N/A</v>
      </c>
      <c r="H18" s="137"/>
      <c r="I18" s="136"/>
      <c r="J18" s="220" t="e">
        <f>IF(VLOOKUP($I$7,qua,1,FALSE)=$I$7,VLOOKUP($I$7,qua,7,FALSE),"")</f>
        <v>#N/A</v>
      </c>
      <c r="K18" s="137"/>
      <c r="L18" s="538"/>
      <c r="M18" s="539"/>
      <c r="N18" s="540"/>
      <c r="O18" s="136"/>
      <c r="P18" s="220" t="e">
        <f>IF(VLOOKUP($O$7,qua,1,FALSE)=$O$7,VLOOKUP($O$7,qua,7,FALSE),"")</f>
        <v>#N/A</v>
      </c>
      <c r="Q18" s="125"/>
      <c r="R18" s="136"/>
      <c r="S18" s="220" t="e">
        <f>IF(VLOOKUP($R$7,qua,1,FALSE)=$R$7,VLOOKUP($R$7,qua,7,FALSE),"")</f>
        <v>#N/A</v>
      </c>
      <c r="T18" s="203"/>
      <c r="V18" s="1"/>
    </row>
    <row r="19" spans="1:22" ht="21" customHeight="1">
      <c r="A19" s="1"/>
      <c r="B19" s="371">
        <f>VLOOKUP(A17,origine,4,FALSE)</f>
        <v>0</v>
      </c>
      <c r="C19" s="418" t="e">
        <f>IF(E17="","",+C17/E17)</f>
        <v>#N/A</v>
      </c>
      <c r="D19" s="140"/>
      <c r="E19" s="139" t="e">
        <f>IF(VLOOKUP($C$7,qua,1,FALSE)=$C$7,VLOOKUP($C$7,qua,6,FALSE),"")</f>
        <v>#N/A</v>
      </c>
      <c r="F19" s="418" t="e">
        <f>IF(H17="","",+F17/H17)</f>
        <v>#N/A</v>
      </c>
      <c r="G19" s="138"/>
      <c r="H19" s="139" t="e">
        <f>IF(VLOOKUP($F$7,qua,1,FALSE)=$F$7,VLOOKUP($F$7,qua,6,FALSE),"")</f>
        <v>#N/A</v>
      </c>
      <c r="I19" s="418" t="e">
        <f>IF(K17="","",+I17/K17)</f>
        <v>#N/A</v>
      </c>
      <c r="J19" s="138"/>
      <c r="K19" s="139" t="e">
        <f>IF(VLOOKUP($I$7,qua,1,FALSE)=$I$7,VLOOKUP($I$7,qua,6,FALSE),"")</f>
        <v>#N/A</v>
      </c>
      <c r="L19" s="541"/>
      <c r="M19" s="542"/>
      <c r="N19" s="543"/>
      <c r="O19" s="418" t="e">
        <f>IF(Q17="","",+O17/Q17)</f>
        <v>#N/A</v>
      </c>
      <c r="P19" s="140"/>
      <c r="Q19" s="141" t="e">
        <f>IF(VLOOKUP($O$7,qua,1,FALSE)=$O$7,VLOOKUP($O$7,qua,6,FALSE),"")</f>
        <v>#N/A</v>
      </c>
      <c r="R19" s="418" t="e">
        <f>IF(T17="","",+R17/T17)</f>
        <v>#N/A</v>
      </c>
      <c r="S19" s="138"/>
      <c r="T19" s="204" t="e">
        <f>IF(VLOOKUP($R$7,qua,1,FALSE)=$R$7,VLOOKUP($R$7,qua,6,FALSE),"")</f>
        <v>#N/A</v>
      </c>
      <c r="V19" s="21"/>
    </row>
    <row r="20" spans="1:24" ht="21" customHeight="1">
      <c r="A20" s="1">
        <v>5</v>
      </c>
      <c r="B20" s="60">
        <f>VLOOKUP(A20,origine,2,FALSE)</f>
        <v>0</v>
      </c>
      <c r="C20" s="133" t="e">
        <f>IF(VLOOKUP($C$7,cin,1,FALSE)=$C$7,VLOOKUP($C$7,cin,2,FALSE),"")</f>
        <v>#N/A</v>
      </c>
      <c r="D20" s="254" t="e">
        <f>VLOOKUP(C$7,cin,10,FALSE)</f>
        <v>#N/A</v>
      </c>
      <c r="E20" s="135" t="e">
        <f>IF(VLOOKUP($C$7,cin,1,FALSE)=$C$7,VLOOKUP($C$7,cin,3,FALSE),"")</f>
        <v>#N/A</v>
      </c>
      <c r="F20" s="133" t="e">
        <f>IF(VLOOKUP($F$7,cin,1,FALSE)=$F$7,VLOOKUP($F$7,cin,2,FALSE),"")</f>
        <v>#N/A</v>
      </c>
      <c r="G20" s="254" t="e">
        <f>VLOOKUP(F$7,cin,10,FALSE)</f>
        <v>#N/A</v>
      </c>
      <c r="H20" s="135" t="e">
        <f>IF(VLOOKUP($F$7,cin,1,FALSE)=$F$7,VLOOKUP($F$7,cin,3,FALSE),"")</f>
        <v>#N/A</v>
      </c>
      <c r="I20" s="133" t="e">
        <f>IF(VLOOKUP($I$7,cin,1,FALSE)=$I$7,VLOOKUP($I$7,cin,2,FALSE),"")</f>
        <v>#N/A</v>
      </c>
      <c r="J20" s="254" t="e">
        <f>VLOOKUP(I$7,cin,10,FALSE)</f>
        <v>#N/A</v>
      </c>
      <c r="K20" s="135" t="e">
        <f>IF(VLOOKUP($I$7,cin,1,FALSE)=$I$7,VLOOKUP($I$7,cin,3,FALSE),"")</f>
        <v>#N/A</v>
      </c>
      <c r="L20" s="133" t="e">
        <f>IF(VLOOKUP($L$7,cin,1,FALSE)=$L$7,VLOOKUP($L$7,cin,2,FALSE),"")</f>
        <v>#N/A</v>
      </c>
      <c r="M20" s="254" t="e">
        <f>VLOOKUP(L$7,cin,10,FALSE)</f>
        <v>#N/A</v>
      </c>
      <c r="N20" s="135" t="e">
        <f>IF(VLOOKUP($L$7,cin,1,FALSE)=$L$7,VLOOKUP($L$7,cin,3,FALSE),"")</f>
        <v>#N/A</v>
      </c>
      <c r="O20" s="535"/>
      <c r="P20" s="536"/>
      <c r="Q20" s="537"/>
      <c r="R20" s="133" t="e">
        <f>IF(VLOOKUP($R$7,cin,1,FALSE)=$R$7,VLOOKUP($R$7,cin,2,FALSE),"")</f>
        <v>#N/A</v>
      </c>
      <c r="S20" s="254" t="e">
        <f>VLOOKUP(R$7,cin,10,FALSE)</f>
        <v>#N/A</v>
      </c>
      <c r="T20" s="202" t="e">
        <f>IF(VLOOKUP($R$7,cin,1,FALSE)=$R$7,VLOOKUP($R$7,cin,3,FALSE),"")</f>
        <v>#N/A</v>
      </c>
      <c r="V20" s="3"/>
      <c r="X20" t="s">
        <v>68</v>
      </c>
    </row>
    <row r="21" spans="1:22" ht="16.5" customHeight="1">
      <c r="A21" s="1"/>
      <c r="B21" s="218">
        <f>VLOOKUP(A20,origine,5,FALSE)</f>
        <v>0</v>
      </c>
      <c r="C21" s="136"/>
      <c r="D21" s="220" t="e">
        <f>IF(VLOOKUP($C$7,cin,1,FALSE)=$C$7,VLOOKUP($C$7,cin,7,FALSE),"")</f>
        <v>#N/A</v>
      </c>
      <c r="E21" s="137"/>
      <c r="F21" s="136"/>
      <c r="G21" s="220" t="e">
        <f>IF(VLOOKUP($F$7,cin,1,FALSE)=$F$7,VLOOKUP($F$7,cin,7,FALSE),"")</f>
        <v>#N/A</v>
      </c>
      <c r="H21" s="137"/>
      <c r="I21" s="136"/>
      <c r="J21" s="220" t="e">
        <f>IF(VLOOKUP($I$7,cin,1,FALSE)=$I$7,VLOOKUP($I$7,cin,7,FALSE),"")</f>
        <v>#N/A</v>
      </c>
      <c r="K21" s="137"/>
      <c r="L21" s="136"/>
      <c r="M21" s="220" t="e">
        <f>IF(VLOOKUP($L$7,cin,1,FALSE)=$L$7,VLOOKUP($L$7,cin,7,FALSE),"")</f>
        <v>#N/A</v>
      </c>
      <c r="N21" s="137"/>
      <c r="O21" s="538"/>
      <c r="P21" s="539"/>
      <c r="Q21" s="540"/>
      <c r="R21" s="136"/>
      <c r="S21" s="220" t="e">
        <f>IF(VLOOKUP($R$7,cin,1,FALSE)=$R$7,VLOOKUP($R$7,cin,7,FALSE),"")</f>
        <v>#N/A</v>
      </c>
      <c r="T21" s="203"/>
      <c r="V21" s="1"/>
    </row>
    <row r="22" spans="1:22" ht="21" customHeight="1">
      <c r="A22" s="1"/>
      <c r="B22" s="371">
        <f>VLOOKUP(A20,origine,4,FALSE)</f>
        <v>0</v>
      </c>
      <c r="C22" s="418" t="e">
        <f>IF(E20="","",+C20/E20)</f>
        <v>#N/A</v>
      </c>
      <c r="D22" s="140"/>
      <c r="E22" s="142" t="e">
        <f>IF(VLOOKUP($C$7,cin,1,FALSE)=$C$7,VLOOKUP($C$7,cin,6,FALSE),"")</f>
        <v>#N/A</v>
      </c>
      <c r="F22" s="418" t="e">
        <f>IF(H20="","",+F20/H20)</f>
        <v>#N/A</v>
      </c>
      <c r="G22" s="140"/>
      <c r="H22" s="142" t="e">
        <f>IF(VLOOKUP($F$7,cin,1,FALSE)=$F$7,VLOOKUP($F$7,cin,6,FALSE),"")</f>
        <v>#N/A</v>
      </c>
      <c r="I22" s="418" t="e">
        <f>IF(K20="","",+I20/K20)</f>
        <v>#N/A</v>
      </c>
      <c r="J22" s="140"/>
      <c r="K22" s="142" t="e">
        <f>IF(VLOOKUP($I$7,cin,1,FALSE)=$I$7,VLOOKUP($I$7,cin,6,FALSE),"")</f>
        <v>#N/A</v>
      </c>
      <c r="L22" s="418" t="e">
        <f>IF(N20="","",+L20/N20)</f>
        <v>#N/A</v>
      </c>
      <c r="M22" s="140"/>
      <c r="N22" s="142" t="e">
        <f>IF(VLOOKUP($L$7,cin,1,FALSE)=$L$7,VLOOKUP($L$7,cin,6,FALSE),"")</f>
        <v>#N/A</v>
      </c>
      <c r="O22" s="541"/>
      <c r="P22" s="542"/>
      <c r="Q22" s="543"/>
      <c r="R22" s="418" t="e">
        <f>IF(T20="","",+R20/T20)</f>
        <v>#N/A</v>
      </c>
      <c r="S22" s="138"/>
      <c r="T22" s="204" t="e">
        <f>IF(VLOOKUP($R$7,cin,1,FALSE)=$R$7,VLOOKUP($R$7,cin,6,FALSE),"")</f>
        <v>#N/A</v>
      </c>
      <c r="V22" s="21"/>
    </row>
    <row r="23" spans="1:25" ht="21" customHeight="1">
      <c r="A23" s="1">
        <v>6</v>
      </c>
      <c r="B23" s="372">
        <f>VLOOKUP(A23,origine,2,FALSE)</f>
        <v>0</v>
      </c>
      <c r="C23" s="133" t="e">
        <f>IF(VLOOKUP($C$7,six,1,FALSE)=$C$7,VLOOKUP($C$7,six,2,FALSE),"")</f>
        <v>#N/A</v>
      </c>
      <c r="D23" s="254" t="e">
        <f>VLOOKUP(C$7,six,10,FALSE)</f>
        <v>#N/A</v>
      </c>
      <c r="E23" s="135" t="e">
        <f>IF(VLOOKUP($C$7,six,1,FALSE)=$C$7,VLOOKUP($C$7,six,3,FALSE),"")</f>
        <v>#N/A</v>
      </c>
      <c r="F23" s="133" t="e">
        <f>IF(VLOOKUP($F$7,six,1,FALSE)=$F$7,VLOOKUP($F$7,six,2,FALSE),"")</f>
        <v>#N/A</v>
      </c>
      <c r="G23" s="254" t="e">
        <f>VLOOKUP(F$7,six,10,FALSE)</f>
        <v>#N/A</v>
      </c>
      <c r="H23" s="135" t="e">
        <f>IF(VLOOKUP($F$7,six,1,FALSE)=$F$7,VLOOKUP($F$7,six,3,FALSE),"")</f>
        <v>#N/A</v>
      </c>
      <c r="I23" s="133" t="e">
        <f>IF(VLOOKUP($I$7,six,1,FALSE)=$I$7,VLOOKUP($I$7,six,2,FALSE),"")</f>
        <v>#N/A</v>
      </c>
      <c r="J23" s="254" t="e">
        <f>VLOOKUP(I$7,six,10,FALSE)</f>
        <v>#N/A</v>
      </c>
      <c r="K23" s="135" t="e">
        <f>IF(VLOOKUP($I$7,six,1,FALSE)=$I$7,VLOOKUP($I$7,six,3,FALSE),"")</f>
        <v>#N/A</v>
      </c>
      <c r="L23" s="133" t="e">
        <f>IF(VLOOKUP($L$7,six,1,FALSE)=$L$7,VLOOKUP($L$7,six,2,FALSE),"")</f>
        <v>#N/A</v>
      </c>
      <c r="M23" s="254" t="e">
        <f>VLOOKUP(L$7,six,10,FALSE)</f>
        <v>#N/A</v>
      </c>
      <c r="N23" s="135" t="e">
        <f>IF(VLOOKUP($L$7,six,1,FALSE)=$L$7,VLOOKUP($L$7,six,3,FALSE),"")</f>
        <v>#N/A</v>
      </c>
      <c r="O23" s="134" t="e">
        <f>IF(VLOOKUP($O$7,six,1,FALSE)=$O$7,VLOOKUP($O$7,six,2,FALSE),"")</f>
        <v>#N/A</v>
      </c>
      <c r="P23" s="254" t="e">
        <f>VLOOKUP(O$7,six,10,FALSE)</f>
        <v>#N/A</v>
      </c>
      <c r="Q23" s="134" t="e">
        <f>IF(VLOOKUP($O$7,six,1,FALSE)=$O$7,VLOOKUP($O$7,six,3,FALSE),"")</f>
        <v>#N/A</v>
      </c>
      <c r="R23" s="535"/>
      <c r="S23" s="536"/>
      <c r="T23" s="537"/>
      <c r="V23" s="3"/>
      <c r="Y23" s="1"/>
    </row>
    <row r="24" spans="1:25" ht="16.5" customHeight="1">
      <c r="A24" s="1"/>
      <c r="B24" s="373">
        <f>VLOOKUP(A23,origine,5,FALSE)</f>
        <v>0</v>
      </c>
      <c r="C24" s="136"/>
      <c r="D24" s="220" t="e">
        <f>IF(VLOOKUP($C$7,six,1,FALSE)=$C$7,VLOOKUP($C$7,six,7,FALSE),"")</f>
        <v>#N/A</v>
      </c>
      <c r="E24" s="137"/>
      <c r="F24" s="136"/>
      <c r="G24" s="220" t="e">
        <f>IF(VLOOKUP($F$7,six,1,FALSE)=$F$7,VLOOKUP($F$7,six,7,FALSE),"")</f>
        <v>#N/A</v>
      </c>
      <c r="H24" s="137"/>
      <c r="I24" s="136"/>
      <c r="J24" s="220" t="e">
        <f>IF(VLOOKUP($I$7,six,1,FALSE)=$I$7,VLOOKUP($I$7,six,7,FALSE),"")</f>
        <v>#N/A</v>
      </c>
      <c r="K24" s="137"/>
      <c r="L24" s="136"/>
      <c r="M24" s="220" t="e">
        <f>IF(VLOOKUP($L$7,six,1,FALSE)=$L$7,VLOOKUP($L$7,six,7,FALSE),"")</f>
        <v>#N/A</v>
      </c>
      <c r="N24" s="137"/>
      <c r="O24" s="136"/>
      <c r="P24" s="220" t="e">
        <f>IF(VLOOKUP($O$7,six,1,FALSE)=$O$7,VLOOKUP($O$7,six,7,FALSE),"")</f>
        <v>#N/A</v>
      </c>
      <c r="Q24" s="125"/>
      <c r="R24" s="538"/>
      <c r="S24" s="539"/>
      <c r="T24" s="540"/>
      <c r="Y24" s="1"/>
    </row>
    <row r="25" spans="1:25" ht="21" customHeight="1" thickBot="1">
      <c r="A25" s="1"/>
      <c r="B25" s="219">
        <f>VLOOKUP(A23,origine,4,FALSE)</f>
        <v>0</v>
      </c>
      <c r="C25" s="419" t="e">
        <f>IF(E23="","",+C23/E23)</f>
        <v>#N/A</v>
      </c>
      <c r="D25" s="205"/>
      <c r="E25" s="206" t="e">
        <f>IF(VLOOKUP($C$7,six,1,FALSE)=$C$7,VLOOKUP($C$7,six,6,FALSE),"")</f>
        <v>#N/A</v>
      </c>
      <c r="F25" s="419" t="e">
        <f>IF(H23="","",+F23/H23)</f>
        <v>#N/A</v>
      </c>
      <c r="G25" s="205"/>
      <c r="H25" s="206" t="e">
        <f>IF(VLOOKUP($F$7,six,1,FALSE)=$F$7,VLOOKUP($F$7,six,6,FALSE),"")</f>
        <v>#N/A</v>
      </c>
      <c r="I25" s="419" t="e">
        <f>IF(K23="","",+I23/K23)</f>
        <v>#N/A</v>
      </c>
      <c r="J25" s="205"/>
      <c r="K25" s="206" t="e">
        <f>IF(VLOOKUP($I$7,six,1,FALSE)=$I$7,VLOOKUP($I$7,six,6,FALSE),"")</f>
        <v>#N/A</v>
      </c>
      <c r="L25" s="419" t="e">
        <f>IF(N23="","",+L23/N23)</f>
        <v>#N/A</v>
      </c>
      <c r="M25" s="205"/>
      <c r="N25" s="206" t="e">
        <f>IF(VLOOKUP($L$7,six,1,FALSE)=$L$7,VLOOKUP($L$7,six,6,FALSE),"")</f>
        <v>#N/A</v>
      </c>
      <c r="O25" s="419" t="e">
        <f>IF(Q23="","",+O23/Q23)</f>
        <v>#N/A</v>
      </c>
      <c r="P25" s="205"/>
      <c r="Q25" s="206" t="e">
        <f>IF(VLOOKUP($O$7,six,1,FALSE)=$O$7,VLOOKUP($O$7,six,6,FALSE),"")</f>
        <v>#N/A</v>
      </c>
      <c r="R25" s="541"/>
      <c r="S25" s="542"/>
      <c r="T25" s="543"/>
      <c r="Y25" s="1"/>
    </row>
    <row r="26" spans="1:20" ht="15">
      <c r="A26" s="1"/>
      <c r="B26" s="61" t="s">
        <v>152</v>
      </c>
      <c r="C26" s="52"/>
      <c r="D26" s="52"/>
      <c r="E26" s="52"/>
      <c r="F26" s="52"/>
      <c r="G26" s="52"/>
      <c r="H26" s="52"/>
      <c r="I26" s="52"/>
      <c r="J26" s="52"/>
      <c r="K26" s="358" t="s">
        <v>153</v>
      </c>
      <c r="L26" s="408"/>
      <c r="M26" s="409"/>
      <c r="N26" s="410"/>
      <c r="O26" s="410"/>
      <c r="P26" s="410"/>
      <c r="Q26" s="411"/>
      <c r="R26" s="544" t="s">
        <v>159</v>
      </c>
      <c r="S26" s="545"/>
      <c r="T26" s="546"/>
    </row>
    <row r="27" spans="1:20" ht="18">
      <c r="A27" s="5"/>
      <c r="B27" s="532">
        <f>dat</f>
        <v>0</v>
      </c>
      <c r="C27" s="532"/>
      <c r="D27" s="58"/>
      <c r="E27" s="58"/>
      <c r="G27" s="259" t="s">
        <v>151</v>
      </c>
      <c r="H27" s="533">
        <f>dirjeu</f>
        <v>0</v>
      </c>
      <c r="I27" s="533"/>
      <c r="J27" s="533"/>
      <c r="K27" s="534"/>
      <c r="L27" s="412"/>
      <c r="M27" s="410"/>
      <c r="N27" s="410"/>
      <c r="O27" s="410"/>
      <c r="P27" s="410"/>
      <c r="Q27" s="411"/>
      <c r="R27" s="547" t="s">
        <v>160</v>
      </c>
      <c r="S27" s="548"/>
      <c r="T27" s="549"/>
    </row>
    <row r="28" spans="1:20" ht="16.5" thickBot="1">
      <c r="A28" s="1"/>
      <c r="B28" s="58"/>
      <c r="C28" s="58"/>
      <c r="D28" s="58"/>
      <c r="E28" s="58"/>
      <c r="F28" s="58"/>
      <c r="G28" s="62"/>
      <c r="H28" s="58"/>
      <c r="I28" s="58"/>
      <c r="J28" s="58"/>
      <c r="K28" s="58"/>
      <c r="L28" s="412"/>
      <c r="M28" s="410"/>
      <c r="N28" s="410"/>
      <c r="O28" s="410"/>
      <c r="P28" s="463"/>
      <c r="Q28" s="464"/>
      <c r="R28" s="520" t="e">
        <f>SUM(H31:H36)/SUM(I31:I36)</f>
        <v>#N/A</v>
      </c>
      <c r="S28" s="521"/>
      <c r="T28" s="522"/>
    </row>
    <row r="29" spans="2:30" ht="13.5" customHeight="1">
      <c r="B29" s="439"/>
      <c r="C29" s="440"/>
      <c r="D29" s="441"/>
      <c r="E29" s="442" t="s">
        <v>18</v>
      </c>
      <c r="F29" s="440"/>
      <c r="G29" s="443"/>
      <c r="H29" s="442" t="s">
        <v>19</v>
      </c>
      <c r="I29" s="442" t="s">
        <v>19</v>
      </c>
      <c r="J29" s="444" t="s">
        <v>20</v>
      </c>
      <c r="K29" s="441"/>
      <c r="L29" s="444" t="s">
        <v>21</v>
      </c>
      <c r="M29" s="443"/>
      <c r="N29" s="445" t="s">
        <v>22</v>
      </c>
      <c r="O29" s="446" t="s">
        <v>23</v>
      </c>
      <c r="P29" s="435"/>
      <c r="Q29" s="20"/>
      <c r="R29" s="58"/>
      <c r="S29" s="515" t="s">
        <v>24</v>
      </c>
      <c r="T29" s="516"/>
      <c r="V29" s="90"/>
      <c r="W29" s="91"/>
      <c r="X29" s="92" t="s">
        <v>19</v>
      </c>
      <c r="Y29" s="92" t="s">
        <v>19</v>
      </c>
      <c r="Z29" s="93" t="s">
        <v>21</v>
      </c>
      <c r="AA29" s="93" t="s">
        <v>21</v>
      </c>
      <c r="AB29" s="93" t="s">
        <v>21</v>
      </c>
      <c r="AC29" s="94" t="s">
        <v>22</v>
      </c>
      <c r="AD29" s="95" t="s">
        <v>23</v>
      </c>
    </row>
    <row r="30" spans="2:30" ht="19.5" customHeight="1" thickBot="1">
      <c r="B30" s="447" t="s">
        <v>0</v>
      </c>
      <c r="C30" s="129" t="s">
        <v>1</v>
      </c>
      <c r="D30" s="130"/>
      <c r="E30" s="131" t="s">
        <v>13</v>
      </c>
      <c r="F30" s="132" t="s">
        <v>2</v>
      </c>
      <c r="G30" s="130"/>
      <c r="H30" s="131" t="s">
        <v>5</v>
      </c>
      <c r="I30" s="131" t="s">
        <v>9</v>
      </c>
      <c r="J30" s="132" t="s">
        <v>25</v>
      </c>
      <c r="K30" s="130"/>
      <c r="L30" s="132" t="s">
        <v>26</v>
      </c>
      <c r="M30" s="130"/>
      <c r="N30" s="131" t="s">
        <v>6</v>
      </c>
      <c r="O30" s="448" t="s">
        <v>27</v>
      </c>
      <c r="P30" s="436"/>
      <c r="Q30" s="20"/>
      <c r="R30" s="58"/>
      <c r="S30" s="517"/>
      <c r="T30" s="518"/>
      <c r="V30" s="90"/>
      <c r="W30" s="96" t="s">
        <v>0</v>
      </c>
      <c r="X30" s="97" t="s">
        <v>5</v>
      </c>
      <c r="Y30" s="97" t="s">
        <v>9</v>
      </c>
      <c r="Z30" s="97" t="s">
        <v>70</v>
      </c>
      <c r="AA30" s="98" t="s">
        <v>26</v>
      </c>
      <c r="AB30" s="99" t="s">
        <v>67</v>
      </c>
      <c r="AC30" s="97" t="s">
        <v>6</v>
      </c>
      <c r="AD30" s="100" t="s">
        <v>27</v>
      </c>
    </row>
    <row r="31" spans="2:31" ht="19.5" customHeight="1">
      <c r="B31" s="449">
        <f aca="true" t="shared" si="0" ref="B31:B36">$W31</f>
        <v>0</v>
      </c>
      <c r="C31" s="124" t="e">
        <f aca="true" t="shared" si="1" ref="C31:C36">VLOOKUP($B31,init,2,FALSE)</f>
        <v>#N/A</v>
      </c>
      <c r="D31" s="125"/>
      <c r="E31" s="366" t="e">
        <f aca="true" t="shared" si="2" ref="E31:E36">VLOOKUP($B31,init,4,FALSE)</f>
        <v>#N/A</v>
      </c>
      <c r="F31" s="124" t="e">
        <f aca="true" t="shared" si="3" ref="F31:F36">VLOOKUP($B31,init,3,FALSE)</f>
        <v>#N/A</v>
      </c>
      <c r="G31" s="126"/>
      <c r="H31" s="127" t="e">
        <f aca="true" t="shared" si="4" ref="H31:H36">$X31</f>
        <v>#N/A</v>
      </c>
      <c r="I31" s="127" t="e">
        <f aca="true" t="shared" si="5" ref="I31:I36">$Y31</f>
        <v>#N/A</v>
      </c>
      <c r="J31" s="128"/>
      <c r="K31" s="420" t="e">
        <f aca="true" t="shared" si="6" ref="K31:K36">IF(I31=0,"",H31/I31)</f>
        <v>#N/A</v>
      </c>
      <c r="L31" s="421" t="e">
        <f aca="true" t="shared" si="7" ref="L31:L36">$AA31</f>
        <v>#N/A</v>
      </c>
      <c r="M31" s="125"/>
      <c r="N31" s="127" t="e">
        <f aca="true" t="shared" si="8" ref="N31:N36">$AC31</f>
        <v>#N/A</v>
      </c>
      <c r="O31" s="450" t="e">
        <f aca="true" t="shared" si="9" ref="O31:O36">$AD31</f>
        <v>#N/A</v>
      </c>
      <c r="P31" s="437"/>
      <c r="Q31" s="438"/>
      <c r="R31" s="58"/>
      <c r="S31" s="528" t="s">
        <v>28</v>
      </c>
      <c r="T31" s="529"/>
      <c r="U31">
        <v>1</v>
      </c>
      <c r="V31" s="101" t="s">
        <v>28</v>
      </c>
      <c r="W31" s="102">
        <f>VLOOKUP(U$33,origine,2,FALSE)</f>
        <v>0</v>
      </c>
      <c r="X31" s="103" t="e">
        <f>VLOOKUP($X$20,tro,2,FALSE)</f>
        <v>#N/A</v>
      </c>
      <c r="Y31" s="103" t="e">
        <f>VLOOKUP($X$20,tro,3,FALSE)</f>
        <v>#N/A</v>
      </c>
      <c r="Z31" s="175" t="e">
        <f aca="true" t="shared" si="10" ref="Z31:Z36">X31/Y31</f>
        <v>#N/A</v>
      </c>
      <c r="AA31" s="175" t="e">
        <f>VLOOKUP($X$20,tro,5,FALSE)</f>
        <v>#N/A</v>
      </c>
      <c r="AB31" s="175">
        <f>VLOOKUP($X$20,tro,8,FALSE)</f>
        <v>0</v>
      </c>
      <c r="AC31" s="103" t="e">
        <f>VLOOKUP($X$20,tro,6,FALSE)</f>
        <v>#N/A</v>
      </c>
      <c r="AD31" s="104" t="e">
        <f>VLOOKUP($X$20,tro,7,FALSE)</f>
        <v>#N/A</v>
      </c>
      <c r="AE31" s="105" t="s">
        <v>28</v>
      </c>
    </row>
    <row r="32" spans="2:31" ht="21.75" customHeight="1">
      <c r="B32" s="451">
        <f t="shared" si="0"/>
        <v>0</v>
      </c>
      <c r="C32" s="119" t="e">
        <f t="shared" si="1"/>
        <v>#N/A</v>
      </c>
      <c r="D32" s="120"/>
      <c r="E32" s="367" t="e">
        <f t="shared" si="2"/>
        <v>#N/A</v>
      </c>
      <c r="F32" s="119" t="e">
        <f t="shared" si="3"/>
        <v>#N/A</v>
      </c>
      <c r="G32" s="121"/>
      <c r="H32" s="122" t="e">
        <f t="shared" si="4"/>
        <v>#N/A</v>
      </c>
      <c r="I32" s="122" t="e">
        <f t="shared" si="5"/>
        <v>#N/A</v>
      </c>
      <c r="J32" s="123"/>
      <c r="K32" s="422" t="e">
        <f t="shared" si="6"/>
        <v>#N/A</v>
      </c>
      <c r="L32" s="423" t="e">
        <f t="shared" si="7"/>
        <v>#N/A</v>
      </c>
      <c r="M32" s="120"/>
      <c r="N32" s="122" t="e">
        <f t="shared" si="8"/>
        <v>#N/A</v>
      </c>
      <c r="O32" s="452" t="e">
        <f t="shared" si="9"/>
        <v>#N/A</v>
      </c>
      <c r="P32" s="437"/>
      <c r="Q32" s="438"/>
      <c r="R32" s="58"/>
      <c r="S32" s="523" t="s">
        <v>29</v>
      </c>
      <c r="T32" s="524"/>
      <c r="U32">
        <v>2</v>
      </c>
      <c r="V32" s="106" t="s">
        <v>29</v>
      </c>
      <c r="W32" s="107">
        <f>VLOOKUP(U$32,origine,2,FALSE)</f>
        <v>0</v>
      </c>
      <c r="X32" s="108" t="e">
        <f>VLOOKUP($X$20,deu,2,FALSE)</f>
        <v>#N/A</v>
      </c>
      <c r="Y32" s="108" t="e">
        <f>VLOOKUP($X$20,deu,3,FALSE)</f>
        <v>#N/A</v>
      </c>
      <c r="Z32" s="176" t="e">
        <f t="shared" si="10"/>
        <v>#N/A</v>
      </c>
      <c r="AA32" s="176" t="e">
        <f>VLOOKUP($X$20,deu,5,FALSE)</f>
        <v>#N/A</v>
      </c>
      <c r="AB32" s="176">
        <f>VLOOKUP($X$20,deu,8,FALSE)</f>
        <v>0</v>
      </c>
      <c r="AC32" s="108" t="e">
        <f>VLOOKUP($X$20,deu,6,FALSE)</f>
        <v>#N/A</v>
      </c>
      <c r="AD32" s="109" t="e">
        <f>VLOOKUP($X$20,deu,7,FALSE)</f>
        <v>#N/A</v>
      </c>
      <c r="AE32" s="110" t="s">
        <v>29</v>
      </c>
    </row>
    <row r="33" spans="2:31" ht="21.75" customHeight="1">
      <c r="B33" s="451">
        <f t="shared" si="0"/>
        <v>0</v>
      </c>
      <c r="C33" s="119" t="e">
        <f t="shared" si="1"/>
        <v>#N/A</v>
      </c>
      <c r="D33" s="120"/>
      <c r="E33" s="367" t="e">
        <f t="shared" si="2"/>
        <v>#N/A</v>
      </c>
      <c r="F33" s="119" t="e">
        <f t="shared" si="3"/>
        <v>#N/A</v>
      </c>
      <c r="G33" s="121"/>
      <c r="H33" s="122" t="e">
        <f t="shared" si="4"/>
        <v>#N/A</v>
      </c>
      <c r="I33" s="122" t="e">
        <f t="shared" si="5"/>
        <v>#N/A</v>
      </c>
      <c r="J33" s="123"/>
      <c r="K33" s="422" t="e">
        <f t="shared" si="6"/>
        <v>#N/A</v>
      </c>
      <c r="L33" s="423" t="e">
        <f t="shared" si="7"/>
        <v>#N/A</v>
      </c>
      <c r="M33" s="120"/>
      <c r="N33" s="122" t="e">
        <f t="shared" si="8"/>
        <v>#N/A</v>
      </c>
      <c r="O33" s="452" t="e">
        <f t="shared" si="9"/>
        <v>#N/A</v>
      </c>
      <c r="P33" s="437"/>
      <c r="Q33" s="438"/>
      <c r="R33" s="58"/>
      <c r="S33" s="523" t="s">
        <v>30</v>
      </c>
      <c r="T33" s="524"/>
      <c r="U33">
        <v>3</v>
      </c>
      <c r="V33" s="106" t="s">
        <v>30</v>
      </c>
      <c r="W33" s="107">
        <f>VLOOKUP(U$31,origine,2,FALSE)</f>
        <v>0</v>
      </c>
      <c r="X33" s="108" t="e">
        <f>VLOOKUP($X$20,un,2,FALSE)</f>
        <v>#N/A</v>
      </c>
      <c r="Y33" s="108" t="e">
        <f>VLOOKUP($X$20,un,3,FALSE)</f>
        <v>#N/A</v>
      </c>
      <c r="Z33" s="176" t="e">
        <f t="shared" si="10"/>
        <v>#N/A</v>
      </c>
      <c r="AA33" s="176" t="e">
        <f>VLOOKUP($X$20,un,5,FALSE)</f>
        <v>#N/A</v>
      </c>
      <c r="AB33" s="176">
        <f>VLOOKUP($X$20,un,8,FALSE)</f>
        <v>0</v>
      </c>
      <c r="AC33" s="108" t="e">
        <f>VLOOKUP($X$20,un,6,FALSE)</f>
        <v>#N/A</v>
      </c>
      <c r="AD33" s="109" t="e">
        <f>VLOOKUP($X$20,un,7,FALSE)</f>
        <v>#N/A</v>
      </c>
      <c r="AE33" s="110" t="s">
        <v>30</v>
      </c>
    </row>
    <row r="34" spans="2:31" ht="21" customHeight="1">
      <c r="B34" s="451">
        <f t="shared" si="0"/>
        <v>0</v>
      </c>
      <c r="C34" s="119" t="e">
        <f t="shared" si="1"/>
        <v>#N/A</v>
      </c>
      <c r="D34" s="120"/>
      <c r="E34" s="367" t="e">
        <f t="shared" si="2"/>
        <v>#N/A</v>
      </c>
      <c r="F34" s="119" t="e">
        <f t="shared" si="3"/>
        <v>#N/A</v>
      </c>
      <c r="G34" s="121"/>
      <c r="H34" s="122" t="e">
        <f t="shared" si="4"/>
        <v>#N/A</v>
      </c>
      <c r="I34" s="122" t="e">
        <f t="shared" si="5"/>
        <v>#N/A</v>
      </c>
      <c r="J34" s="123"/>
      <c r="K34" s="422" t="e">
        <f t="shared" si="6"/>
        <v>#N/A</v>
      </c>
      <c r="L34" s="423" t="e">
        <f t="shared" si="7"/>
        <v>#N/A</v>
      </c>
      <c r="M34" s="120"/>
      <c r="N34" s="122" t="e">
        <f t="shared" si="8"/>
        <v>#N/A</v>
      </c>
      <c r="O34" s="452" t="e">
        <f t="shared" si="9"/>
        <v>#N/A</v>
      </c>
      <c r="P34" s="437"/>
      <c r="Q34" s="438"/>
      <c r="R34" s="58"/>
      <c r="S34" s="523" t="s">
        <v>31</v>
      </c>
      <c r="T34" s="524"/>
      <c r="U34">
        <v>4</v>
      </c>
      <c r="V34" s="106" t="s">
        <v>31</v>
      </c>
      <c r="W34" s="107">
        <f>VLOOKUP(U$36,origine,2,FALSE)</f>
        <v>0</v>
      </c>
      <c r="X34" s="108" t="e">
        <f>VLOOKUP($X$20,six,2,FALSE)</f>
        <v>#N/A</v>
      </c>
      <c r="Y34" s="108" t="e">
        <f>VLOOKUP($X$20,six,3,FALSE)</f>
        <v>#N/A</v>
      </c>
      <c r="Z34" s="176" t="e">
        <f t="shared" si="10"/>
        <v>#N/A</v>
      </c>
      <c r="AA34" s="176" t="e">
        <f>VLOOKUP($X$20,six,5,FALSE)</f>
        <v>#N/A</v>
      </c>
      <c r="AB34" s="176">
        <f>VLOOKUP($X$20,six,8,FALSE)</f>
        <v>0</v>
      </c>
      <c r="AC34" s="108" t="e">
        <f>VLOOKUP($X$20,six,6,FALSE)</f>
        <v>#N/A</v>
      </c>
      <c r="AD34" s="109" t="e">
        <f>VLOOKUP($X$20,six,7,FALSE)</f>
        <v>#N/A</v>
      </c>
      <c r="AE34" s="110" t="s">
        <v>31</v>
      </c>
    </row>
    <row r="35" spans="2:31" ht="21" customHeight="1">
      <c r="B35" s="451">
        <f t="shared" si="0"/>
        <v>0</v>
      </c>
      <c r="C35" s="119" t="e">
        <f t="shared" si="1"/>
        <v>#N/A</v>
      </c>
      <c r="D35" s="120"/>
      <c r="E35" s="367" t="e">
        <f t="shared" si="2"/>
        <v>#N/A</v>
      </c>
      <c r="F35" s="119" t="e">
        <f t="shared" si="3"/>
        <v>#N/A</v>
      </c>
      <c r="G35" s="121"/>
      <c r="H35" s="122" t="e">
        <f t="shared" si="4"/>
        <v>#N/A</v>
      </c>
      <c r="I35" s="122" t="e">
        <f t="shared" si="5"/>
        <v>#N/A</v>
      </c>
      <c r="J35" s="123"/>
      <c r="K35" s="422" t="e">
        <f t="shared" si="6"/>
        <v>#N/A</v>
      </c>
      <c r="L35" s="423" t="e">
        <f t="shared" si="7"/>
        <v>#N/A</v>
      </c>
      <c r="M35" s="120"/>
      <c r="N35" s="122" t="e">
        <f t="shared" si="8"/>
        <v>#N/A</v>
      </c>
      <c r="O35" s="452" t="e">
        <f t="shared" si="9"/>
        <v>#N/A</v>
      </c>
      <c r="P35" s="437"/>
      <c r="Q35" s="438"/>
      <c r="R35" s="58"/>
      <c r="S35" s="523" t="s">
        <v>33</v>
      </c>
      <c r="T35" s="524"/>
      <c r="U35">
        <v>5</v>
      </c>
      <c r="V35" s="111" t="s">
        <v>33</v>
      </c>
      <c r="W35" s="116">
        <f>VLOOKUP(U$35,origine,2,FALSE)</f>
        <v>0</v>
      </c>
      <c r="X35" s="117" t="e">
        <f>VLOOKUP($X$20,cin,2,FALSE)</f>
        <v>#N/A</v>
      </c>
      <c r="Y35" s="117" t="e">
        <f>VLOOKUP($X$20,cin,3,FALSE)</f>
        <v>#N/A</v>
      </c>
      <c r="Z35" s="177" t="e">
        <f t="shared" si="10"/>
        <v>#N/A</v>
      </c>
      <c r="AA35" s="177" t="e">
        <f>VLOOKUP($X$20,cin,5,FALSE)</f>
        <v>#N/A</v>
      </c>
      <c r="AB35" s="177">
        <f>VLOOKUP($X$20,cin,8,FALSE)</f>
        <v>0</v>
      </c>
      <c r="AC35" s="117" t="e">
        <f>VLOOKUP($X$20,cin,6,FALSE)</f>
        <v>#N/A</v>
      </c>
      <c r="AD35" s="118" t="e">
        <f>VLOOKUP($X$20,cin,7,FALSE)</f>
        <v>#N/A</v>
      </c>
      <c r="AE35" s="115" t="s">
        <v>33</v>
      </c>
    </row>
    <row r="36" spans="1:31" ht="20.25" customHeight="1" thickBot="1">
      <c r="A36" s="1"/>
      <c r="B36" s="453">
        <f t="shared" si="0"/>
        <v>0</v>
      </c>
      <c r="C36" s="454" t="e">
        <f t="shared" si="1"/>
        <v>#N/A</v>
      </c>
      <c r="D36" s="455"/>
      <c r="E36" s="456" t="e">
        <f t="shared" si="2"/>
        <v>#N/A</v>
      </c>
      <c r="F36" s="454" t="e">
        <f t="shared" si="3"/>
        <v>#N/A</v>
      </c>
      <c r="G36" s="457"/>
      <c r="H36" s="458" t="e">
        <f t="shared" si="4"/>
        <v>#N/A</v>
      </c>
      <c r="I36" s="458" t="e">
        <f t="shared" si="5"/>
        <v>#N/A</v>
      </c>
      <c r="J36" s="459"/>
      <c r="K36" s="460" t="e">
        <f t="shared" si="6"/>
        <v>#N/A</v>
      </c>
      <c r="L36" s="461" t="e">
        <f t="shared" si="7"/>
        <v>#N/A</v>
      </c>
      <c r="M36" s="455"/>
      <c r="N36" s="458" t="e">
        <f t="shared" si="8"/>
        <v>#N/A</v>
      </c>
      <c r="O36" s="462" t="e">
        <f t="shared" si="9"/>
        <v>#N/A</v>
      </c>
      <c r="P36" s="437"/>
      <c r="Q36" s="438"/>
      <c r="R36" s="58"/>
      <c r="S36" s="530" t="s">
        <v>34</v>
      </c>
      <c r="T36" s="531"/>
      <c r="U36">
        <v>6</v>
      </c>
      <c r="V36" s="106" t="s">
        <v>34</v>
      </c>
      <c r="W36" s="112">
        <f>VLOOKUP(U$34,origine,2,FALSE)</f>
        <v>0</v>
      </c>
      <c r="X36" s="113" t="e">
        <f>VLOOKUP($X$20,qua,2,FALSE)</f>
        <v>#N/A</v>
      </c>
      <c r="Y36" s="113" t="e">
        <f>VLOOKUP($X$20,qua,3,FALSE)</f>
        <v>#N/A</v>
      </c>
      <c r="Z36" s="178" t="e">
        <f t="shared" si="10"/>
        <v>#N/A</v>
      </c>
      <c r="AA36" s="178" t="e">
        <f>VLOOKUP($X$20,qua,5,FALSE)</f>
        <v>#N/A</v>
      </c>
      <c r="AB36" s="178">
        <f>VLOOKUP($X$20,qua,8,FALSE)</f>
        <v>0</v>
      </c>
      <c r="AC36" s="113" t="e">
        <f>VLOOKUP($X$20,qua,6,FALSE)</f>
        <v>#N/A</v>
      </c>
      <c r="AD36" s="114" t="e">
        <f>VLOOKUP($X$20,qua,7,FALSE)</f>
        <v>#N/A</v>
      </c>
      <c r="AE36" s="110" t="s">
        <v>34</v>
      </c>
    </row>
    <row r="37" spans="1:2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1"/>
      <c r="S37" s="1"/>
      <c r="T37" s="1"/>
    </row>
    <row r="38" spans="1:20" ht="31.5" customHeight="1">
      <c r="A38" s="1"/>
      <c r="B38" s="395" t="s">
        <v>157</v>
      </c>
      <c r="C38" s="4"/>
      <c r="D38" s="4"/>
      <c r="E38" s="4"/>
      <c r="F38" s="4"/>
      <c r="G38" s="525" t="s">
        <v>155</v>
      </c>
      <c r="H38" s="526"/>
      <c r="I38" s="526"/>
      <c r="J38" s="526"/>
      <c r="K38" s="527"/>
      <c r="L38" s="395" t="s">
        <v>156</v>
      </c>
      <c r="M38" s="4"/>
      <c r="N38" s="4"/>
      <c r="O38" s="4"/>
      <c r="P38" s="4"/>
      <c r="Q38" s="1"/>
      <c r="R38" s="1"/>
      <c r="S38" s="1"/>
      <c r="T38" s="1"/>
    </row>
    <row r="39" spans="1:2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sheetProtection/>
  <mergeCells count="28">
    <mergeCell ref="B27:C27"/>
    <mergeCell ref="H27:K27"/>
    <mergeCell ref="C8:E10"/>
    <mergeCell ref="F11:H13"/>
    <mergeCell ref="O20:Q22"/>
    <mergeCell ref="R23:T25"/>
    <mergeCell ref="L17:N19"/>
    <mergeCell ref="I14:K16"/>
    <mergeCell ref="R26:T26"/>
    <mergeCell ref="R27:T27"/>
    <mergeCell ref="S29:T30"/>
    <mergeCell ref="R7:T7"/>
    <mergeCell ref="R28:T28"/>
    <mergeCell ref="S33:T33"/>
    <mergeCell ref="G38:K38"/>
    <mergeCell ref="S31:T31"/>
    <mergeCell ref="S34:T34"/>
    <mergeCell ref="S35:T35"/>
    <mergeCell ref="S36:T36"/>
    <mergeCell ref="S32:T32"/>
    <mergeCell ref="C1:T1"/>
    <mergeCell ref="J3:K3"/>
    <mergeCell ref="J4:K4"/>
    <mergeCell ref="O7:Q7"/>
    <mergeCell ref="C7:E7"/>
    <mergeCell ref="F7:H7"/>
    <mergeCell ref="I7:K7"/>
    <mergeCell ref="L7:N7"/>
  </mergeCells>
  <conditionalFormatting sqref="P18 P15 D21 S9 S15 J21 P9 M21 G24 D15 S12 P12 S21 J9 M12 G9 S18 M15 M9 J12 D12 G21 D18 G18 G15 J18 J24 P24 M24 D24">
    <cfRule type="cellIs" priority="1" dxfId="6" operator="equal" stopIfTrue="1">
      <formula>0</formula>
    </cfRule>
    <cfRule type="cellIs" priority="2" dxfId="5" operator="equal" stopIfTrue="1">
      <formula>1</formula>
    </cfRule>
    <cfRule type="cellIs" priority="3" dxfId="4" operator="equal" stopIfTrue="1">
      <formula>2</formula>
    </cfRule>
  </conditionalFormatting>
  <hyperlinks>
    <hyperlink ref="G38" r:id="rId1" display="juan.giron1@free.fr"/>
  </hyperlinks>
  <printOptions horizontalCentered="1"/>
  <pageMargins left="0.11811023622047245" right="0.2755905511811024" top="0.15748031496062992" bottom="0.2755905511811024" header="0" footer="0"/>
  <pageSetup horizontalDpi="300" verticalDpi="300" orientation="landscape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146"/>
  <sheetViews>
    <sheetView showGridLines="0" zoomScale="75" zoomScaleNormal="75" zoomScalePageLayoutView="0" workbookViewId="0" topLeftCell="A1">
      <selection activeCell="K11" sqref="K11"/>
    </sheetView>
  </sheetViews>
  <sheetFormatPr defaultColWidth="11.5546875" defaultRowHeight="15"/>
  <cols>
    <col min="1" max="1" width="4.4453125" style="0" customWidth="1"/>
    <col min="2" max="2" width="4.77734375" style="0" customWidth="1"/>
    <col min="4" max="4" width="12.88671875" style="0" customWidth="1"/>
    <col min="7" max="7" width="10.21484375" style="0" customWidth="1"/>
    <col min="11" max="11" width="8.4453125" style="0" customWidth="1"/>
    <col min="12" max="12" width="4.88671875" style="0" customWidth="1"/>
  </cols>
  <sheetData>
    <row r="1" spans="2:12" ht="25.5" customHeight="1" thickTop="1">
      <c r="B1" s="550" t="s">
        <v>59</v>
      </c>
      <c r="C1" s="551"/>
      <c r="D1" s="551"/>
      <c r="E1" s="551"/>
      <c r="F1" s="551"/>
      <c r="G1" s="551"/>
      <c r="H1" s="551"/>
      <c r="I1" s="551"/>
      <c r="J1" s="551"/>
      <c r="K1" s="551"/>
      <c r="L1" s="552"/>
    </row>
    <row r="2" spans="2:12" ht="15">
      <c r="B2" s="76"/>
      <c r="C2" s="20"/>
      <c r="D2" s="20"/>
      <c r="E2" s="20"/>
      <c r="F2" s="20"/>
      <c r="G2" s="20"/>
      <c r="H2" s="20"/>
      <c r="I2" s="20"/>
      <c r="J2" s="20"/>
      <c r="K2" s="20"/>
      <c r="L2" s="77"/>
    </row>
    <row r="3" spans="2:12" ht="16.5" thickBot="1">
      <c r="B3" s="78"/>
      <c r="C3" s="79" t="str">
        <f>design1</f>
        <v>REGIONALE 1</v>
      </c>
      <c r="D3" s="79"/>
      <c r="E3" s="80" t="str">
        <f>design2</f>
        <v>SOUS-DISTRICT</v>
      </c>
      <c r="F3" s="81"/>
      <c r="G3" s="82" t="s">
        <v>60</v>
      </c>
      <c r="H3" s="83" t="str">
        <f>bill</f>
        <v>2m80</v>
      </c>
      <c r="I3" s="82" t="s">
        <v>61</v>
      </c>
      <c r="J3" s="83">
        <f>DISTANCE</f>
        <v>0</v>
      </c>
      <c r="K3" s="79" t="s">
        <v>23</v>
      </c>
      <c r="L3" s="89"/>
    </row>
    <row r="4" ht="15.75" thickTop="1"/>
    <row r="5" ht="15">
      <c r="I5" s="84" t="str">
        <f>modjeu</f>
        <v>3 BANDES</v>
      </c>
    </row>
    <row r="6" ht="15">
      <c r="B6" s="85" t="s">
        <v>62</v>
      </c>
    </row>
    <row r="7" ht="15.75">
      <c r="C7" s="86">
        <v>1</v>
      </c>
    </row>
    <row r="8" spans="3:10" ht="15">
      <c r="C8" s="85" t="s">
        <v>12</v>
      </c>
      <c r="E8" s="85" t="s">
        <v>1</v>
      </c>
      <c r="G8" s="41" t="s">
        <v>2</v>
      </c>
      <c r="I8" s="553" t="s">
        <v>63</v>
      </c>
      <c r="J8" s="553"/>
    </row>
    <row r="9" spans="3:10" ht="15.75">
      <c r="C9" s="87">
        <f>VLOOKUP($C7,init1,2,FALSE)</f>
        <v>0</v>
      </c>
      <c r="D9" s="87"/>
      <c r="E9" s="87">
        <f>VLOOKUP($C7,init1,3,FALSE)</f>
        <v>0</v>
      </c>
      <c r="F9" s="87"/>
      <c r="G9" s="72">
        <f>VLOOKUP($C7,init1,4,FALSE)</f>
        <v>0</v>
      </c>
      <c r="H9" s="87"/>
      <c r="I9" s="554">
        <f>VLOOKUP($C7,init1,5,FALSE)</f>
        <v>0</v>
      </c>
      <c r="J9" s="554"/>
    </row>
    <row r="11" ht="15.75" thickBot="1"/>
    <row r="12" spans="3:11" ht="24" customHeight="1" thickBot="1">
      <c r="C12" s="143" t="s">
        <v>64</v>
      </c>
      <c r="D12" s="144" t="s">
        <v>65</v>
      </c>
      <c r="E12" s="145" t="s">
        <v>5</v>
      </c>
      <c r="F12" s="145" t="s">
        <v>9</v>
      </c>
      <c r="G12" s="145" t="s">
        <v>10</v>
      </c>
      <c r="H12" s="145" t="s">
        <v>11</v>
      </c>
      <c r="I12" s="145" t="s">
        <v>6</v>
      </c>
      <c r="J12" s="467" t="s">
        <v>66</v>
      </c>
      <c r="K12" s="465"/>
    </row>
    <row r="13" spans="1:13" ht="24" customHeight="1">
      <c r="A13" s="20" t="str">
        <f>C$7&amp;1</f>
        <v>11</v>
      </c>
      <c r="C13" s="146" t="e">
        <f>VLOOKUP($A13,trifin1,3,FALSE)</f>
        <v>#N/A</v>
      </c>
      <c r="D13" s="147" t="e">
        <f>VLOOKUP($A13,trifin1,9,FALSE)</f>
        <v>#N/A</v>
      </c>
      <c r="E13" s="148" t="e">
        <f>VLOOKUP($A13,trifin1,5,FALSE)</f>
        <v>#N/A</v>
      </c>
      <c r="F13" s="148" t="e">
        <f>VLOOKUP($A13,trifin1,6,FALSE)</f>
        <v>#N/A</v>
      </c>
      <c r="G13" s="424" t="e">
        <f>IF(F13="","",E13/F13)</f>
        <v>#N/A</v>
      </c>
      <c r="H13" s="425" t="e">
        <f>IF(E13=DISTANCE,G13,"-")</f>
        <v>#N/A</v>
      </c>
      <c r="I13" s="148" t="e">
        <f>VLOOKUP($A13,trifin1,7,FALSE)</f>
        <v>#N/A</v>
      </c>
      <c r="J13" s="468" t="e">
        <f>VLOOKUP($A13,trifin1,8,FALSE)</f>
        <v>#N/A</v>
      </c>
      <c r="K13" s="465"/>
      <c r="M13">
        <v>1</v>
      </c>
    </row>
    <row r="14" spans="1:13" ht="24" customHeight="1">
      <c r="A14" s="20" t="str">
        <f>C$7&amp;2</f>
        <v>12</v>
      </c>
      <c r="C14" s="149" t="e">
        <f>VLOOKUP($A14,trifin1,3,FALSE)</f>
        <v>#N/A</v>
      </c>
      <c r="D14" s="150" t="e">
        <f>VLOOKUP($A14,trifin1,9,FALSE)</f>
        <v>#N/A</v>
      </c>
      <c r="E14" s="151" t="e">
        <f>VLOOKUP($A14,trifin1,5,FALSE)</f>
        <v>#N/A</v>
      </c>
      <c r="F14" s="151" t="e">
        <f>VLOOKUP($A14,trifin1,6,FALSE)</f>
        <v>#N/A</v>
      </c>
      <c r="G14" s="426" t="e">
        <f>IF(F14="","",E14/F14)</f>
        <v>#N/A</v>
      </c>
      <c r="H14" s="426" t="e">
        <f>IF(E14=DISTANCE,G14,"-")</f>
        <v>#N/A</v>
      </c>
      <c r="I14" s="151" t="e">
        <f>VLOOKUP($A14,trifin1,7,FALSE)</f>
        <v>#N/A</v>
      </c>
      <c r="J14" s="469" t="e">
        <f>VLOOKUP($A14,trifin1,8,FALSE)</f>
        <v>#N/A</v>
      </c>
      <c r="K14" s="465"/>
      <c r="M14">
        <v>2</v>
      </c>
    </row>
    <row r="15" spans="1:13" ht="24" customHeight="1">
      <c r="A15" s="20" t="str">
        <f>C$7&amp;3</f>
        <v>13</v>
      </c>
      <c r="C15" s="149" t="e">
        <f>VLOOKUP($A15,trifin1,3,FALSE)</f>
        <v>#N/A</v>
      </c>
      <c r="D15" s="150" t="e">
        <f>VLOOKUP($A15,trifin1,9,FALSE)</f>
        <v>#N/A</v>
      </c>
      <c r="E15" s="151" t="e">
        <f>VLOOKUP($A15,trifin1,5,FALSE)</f>
        <v>#N/A</v>
      </c>
      <c r="F15" s="151" t="e">
        <f>VLOOKUP($A15,trifin1,6,FALSE)</f>
        <v>#N/A</v>
      </c>
      <c r="G15" s="426" t="e">
        <f>IF(F15="","",E15/F15)</f>
        <v>#N/A</v>
      </c>
      <c r="H15" s="426" t="e">
        <f>IF(E15=DISTANCE,G15,"-")</f>
        <v>#N/A</v>
      </c>
      <c r="I15" s="151" t="e">
        <f>VLOOKUP($A15,trifin1,7,FALSE)</f>
        <v>#N/A</v>
      </c>
      <c r="J15" s="469" t="e">
        <f>VLOOKUP($A15,trifin1,8,FALSE)</f>
        <v>#N/A</v>
      </c>
      <c r="K15" s="466"/>
      <c r="M15">
        <v>3</v>
      </c>
    </row>
    <row r="16" spans="1:13" ht="24" customHeight="1">
      <c r="A16" s="20" t="str">
        <f>C$7&amp;4</f>
        <v>14</v>
      </c>
      <c r="C16" s="149" t="e">
        <f>VLOOKUP($A16,trifin1,3,FALSE)</f>
        <v>#N/A</v>
      </c>
      <c r="D16" s="150" t="e">
        <f>VLOOKUP($A16,trifin1,9,FALSE)</f>
        <v>#N/A</v>
      </c>
      <c r="E16" s="151" t="e">
        <f>VLOOKUP($A16,trifin1,5,FALSE)</f>
        <v>#N/A</v>
      </c>
      <c r="F16" s="151" t="e">
        <f>VLOOKUP($A16,trifin1,6,FALSE)</f>
        <v>#N/A</v>
      </c>
      <c r="G16" s="426" t="e">
        <f>IF(F16="","",E16/F16)</f>
        <v>#N/A</v>
      </c>
      <c r="H16" s="426" t="e">
        <f>IF(E16=DISTANCE,G16,"-")</f>
        <v>#N/A</v>
      </c>
      <c r="I16" s="151" t="e">
        <f>VLOOKUP($A16,trifin1,7,FALSE)</f>
        <v>#N/A</v>
      </c>
      <c r="J16" s="469" t="e">
        <f>VLOOKUP($A16,trifin1,8,FALSE)</f>
        <v>#N/A</v>
      </c>
      <c r="K16" s="466"/>
      <c r="M16">
        <v>4</v>
      </c>
    </row>
    <row r="17" spans="1:13" ht="24" customHeight="1" thickBot="1">
      <c r="A17" s="20" t="str">
        <f>C$7&amp;5</f>
        <v>15</v>
      </c>
      <c r="C17" s="152" t="e">
        <f>VLOOKUP($A17,trifin1,3,FALSE)</f>
        <v>#N/A</v>
      </c>
      <c r="D17" s="153" t="e">
        <f>VLOOKUP($A17,trifin1,9,FALSE)</f>
        <v>#N/A</v>
      </c>
      <c r="E17" s="154" t="e">
        <f>VLOOKUP($A17,trifin1,5,FALSE)</f>
        <v>#N/A</v>
      </c>
      <c r="F17" s="154" t="e">
        <f>VLOOKUP($A17,trifin1,6,FALSE)</f>
        <v>#N/A</v>
      </c>
      <c r="G17" s="427" t="e">
        <f>IF(F17="","",E17/F17)</f>
        <v>#N/A</v>
      </c>
      <c r="H17" s="427" t="e">
        <f>IF(E17=DISTANCE,G17,"-")</f>
        <v>#N/A</v>
      </c>
      <c r="I17" s="154" t="e">
        <f>VLOOKUP($A17,trifin1,7,FALSE)</f>
        <v>#N/A</v>
      </c>
      <c r="J17" s="470" t="e">
        <f>VLOOKUP($A17,trifin1,8,FALSE)</f>
        <v>#N/A</v>
      </c>
      <c r="K17" s="466"/>
      <c r="M17">
        <v>5</v>
      </c>
    </row>
    <row r="18" spans="3:11" ht="24" customHeight="1" thickBot="1">
      <c r="C18" s="155"/>
      <c r="D18" s="156" t="s">
        <v>68</v>
      </c>
      <c r="E18" s="157" t="e">
        <f>SUM(E13:E17)</f>
        <v>#N/A</v>
      </c>
      <c r="F18" s="157" t="e">
        <f>SUM(F13:F17)</f>
        <v>#N/A</v>
      </c>
      <c r="G18" s="428" t="e">
        <f>IF(F18=0,"",E18/F18)</f>
        <v>#N/A</v>
      </c>
      <c r="H18" s="428" t="e">
        <f>MAX(H13:H17)</f>
        <v>#N/A</v>
      </c>
      <c r="I18" s="158" t="e">
        <f>MAX(I13:I17)</f>
        <v>#N/A</v>
      </c>
      <c r="J18" s="471" t="e">
        <f>SUM(J13:J17)</f>
        <v>#N/A</v>
      </c>
      <c r="K18" s="466"/>
    </row>
    <row r="20" spans="3:6" ht="15.75">
      <c r="C20" s="555" t="s">
        <v>69</v>
      </c>
      <c r="D20" s="555"/>
      <c r="E20" s="555"/>
      <c r="F20" s="86" t="str">
        <f>VLOOKUP($C9,clasfin2,9,FALSE)</f>
        <v>1er</v>
      </c>
    </row>
    <row r="22" spans="3:8" ht="23.25">
      <c r="C22" s="88">
        <f>titre</f>
        <v>0</v>
      </c>
      <c r="D22" s="88"/>
      <c r="E22" s="88"/>
      <c r="F22" s="88"/>
      <c r="H22" s="87">
        <f>dat</f>
        <v>0</v>
      </c>
    </row>
    <row r="24" ht="15.75" thickBot="1"/>
    <row r="25" spans="2:12" ht="24" thickTop="1">
      <c r="B25" s="550" t="s">
        <v>59</v>
      </c>
      <c r="C25" s="551"/>
      <c r="D25" s="551"/>
      <c r="E25" s="551"/>
      <c r="F25" s="551"/>
      <c r="G25" s="551"/>
      <c r="H25" s="551"/>
      <c r="I25" s="551"/>
      <c r="J25" s="551"/>
      <c r="K25" s="551"/>
      <c r="L25" s="552"/>
    </row>
    <row r="26" spans="2:12" ht="15">
      <c r="B26" s="76"/>
      <c r="C26" s="20"/>
      <c r="D26" s="20"/>
      <c r="E26" s="20"/>
      <c r="F26" s="20"/>
      <c r="G26" s="20"/>
      <c r="H26" s="20"/>
      <c r="I26" s="20"/>
      <c r="J26" s="20"/>
      <c r="K26" s="20"/>
      <c r="L26" s="77"/>
    </row>
    <row r="27" spans="2:12" ht="16.5" thickBot="1">
      <c r="B27" s="78"/>
      <c r="C27" s="79" t="str">
        <f>design1</f>
        <v>REGIONALE 1</v>
      </c>
      <c r="D27" s="79"/>
      <c r="E27" s="80" t="str">
        <f>design2</f>
        <v>SOUS-DISTRICT</v>
      </c>
      <c r="F27" s="81"/>
      <c r="G27" s="82" t="s">
        <v>60</v>
      </c>
      <c r="H27" s="83" t="str">
        <f>bill</f>
        <v>2m80</v>
      </c>
      <c r="I27" s="82" t="s">
        <v>61</v>
      </c>
      <c r="J27" s="83">
        <f>DISTANCE</f>
        <v>0</v>
      </c>
      <c r="K27" s="79" t="s">
        <v>23</v>
      </c>
      <c r="L27" s="89"/>
    </row>
    <row r="28" ht="15.75" thickTop="1"/>
    <row r="29" ht="15">
      <c r="I29" s="84" t="str">
        <f>modjeu</f>
        <v>3 BANDES</v>
      </c>
    </row>
    <row r="30" ht="15">
      <c r="B30" s="85" t="s">
        <v>62</v>
      </c>
    </row>
    <row r="31" ht="15.75">
      <c r="C31" s="86">
        <v>2</v>
      </c>
    </row>
    <row r="32" spans="3:10" ht="15">
      <c r="C32" s="85" t="s">
        <v>12</v>
      </c>
      <c r="E32" s="85" t="s">
        <v>1</v>
      </c>
      <c r="G32" s="41" t="s">
        <v>2</v>
      </c>
      <c r="I32" s="553" t="s">
        <v>63</v>
      </c>
      <c r="J32" s="553"/>
    </row>
    <row r="33" spans="3:10" ht="15.75">
      <c r="C33" s="87">
        <f>VLOOKUP($C31,init1,2,FALSE)</f>
        <v>0</v>
      </c>
      <c r="D33" s="87"/>
      <c r="E33" s="87">
        <f>VLOOKUP($C31,init1,3,FALSE)</f>
        <v>0</v>
      </c>
      <c r="F33" s="87"/>
      <c r="G33" s="72">
        <f>VLOOKUP($C31,init1,4,FALSE)</f>
        <v>0</v>
      </c>
      <c r="H33" s="87"/>
      <c r="I33" s="554">
        <f>VLOOKUP($C31,init1,5,FALSE)</f>
        <v>0</v>
      </c>
      <c r="J33" s="554"/>
    </row>
    <row r="35" ht="15.75" thickBot="1"/>
    <row r="36" spans="3:11" ht="24" customHeight="1" thickBot="1">
      <c r="C36" s="143" t="s">
        <v>64</v>
      </c>
      <c r="D36" s="144" t="s">
        <v>65</v>
      </c>
      <c r="E36" s="145" t="s">
        <v>5</v>
      </c>
      <c r="F36" s="145" t="s">
        <v>9</v>
      </c>
      <c r="G36" s="145" t="s">
        <v>10</v>
      </c>
      <c r="H36" s="145" t="s">
        <v>11</v>
      </c>
      <c r="I36" s="145" t="s">
        <v>6</v>
      </c>
      <c r="J36" s="467" t="s">
        <v>66</v>
      </c>
      <c r="K36" s="465"/>
    </row>
    <row r="37" spans="1:13" ht="24" customHeight="1">
      <c r="A37" s="20" t="str">
        <f>C$31&amp;1</f>
        <v>21</v>
      </c>
      <c r="C37" s="146" t="e">
        <f>VLOOKUP($A37,trifin1,3,FALSE)</f>
        <v>#N/A</v>
      </c>
      <c r="D37" s="147" t="e">
        <f>VLOOKUP($A37,trifin1,9,FALSE)</f>
        <v>#N/A</v>
      </c>
      <c r="E37" s="148" t="e">
        <f>VLOOKUP($A37,trifin1,5,FALSE)</f>
        <v>#N/A</v>
      </c>
      <c r="F37" s="148" t="e">
        <f>VLOOKUP($A37,trifin1,6,FALSE)</f>
        <v>#N/A</v>
      </c>
      <c r="G37" s="424" t="e">
        <f>IF(F37="","",E37/F37)</f>
        <v>#N/A</v>
      </c>
      <c r="H37" s="425" t="e">
        <f>IF(E37=DISTANCE,G37,"-")</f>
        <v>#N/A</v>
      </c>
      <c r="I37" s="148" t="e">
        <f>VLOOKUP($A37,trifin1,7,FALSE)</f>
        <v>#N/A</v>
      </c>
      <c r="J37" s="468" t="e">
        <f>VLOOKUP($A37,trifin1,8,FALSE)</f>
        <v>#N/A</v>
      </c>
      <c r="K37" s="465"/>
      <c r="M37">
        <v>1</v>
      </c>
    </row>
    <row r="38" spans="1:13" ht="24" customHeight="1">
      <c r="A38" s="20" t="str">
        <f>C$31&amp;2</f>
        <v>22</v>
      </c>
      <c r="C38" s="149" t="e">
        <f>VLOOKUP($A38,trifin1,3,FALSE)</f>
        <v>#N/A</v>
      </c>
      <c r="D38" s="150" t="e">
        <f>VLOOKUP($A38,trifin1,9,FALSE)</f>
        <v>#N/A</v>
      </c>
      <c r="E38" s="151" t="e">
        <f>VLOOKUP($A38,trifin1,5,FALSE)</f>
        <v>#N/A</v>
      </c>
      <c r="F38" s="151" t="e">
        <f>VLOOKUP($A38,trifin1,6,FALSE)</f>
        <v>#N/A</v>
      </c>
      <c r="G38" s="426" t="e">
        <f>IF(F38="","",E38/F38)</f>
        <v>#N/A</v>
      </c>
      <c r="H38" s="426" t="e">
        <f>IF(E38=DISTANCE,G38,"-")</f>
        <v>#N/A</v>
      </c>
      <c r="I38" s="151" t="e">
        <f>VLOOKUP($A38,trifin1,7,FALSE)</f>
        <v>#N/A</v>
      </c>
      <c r="J38" s="469" t="e">
        <f>VLOOKUP($A38,trifin1,8,FALSE)</f>
        <v>#N/A</v>
      </c>
      <c r="K38" s="465"/>
      <c r="M38">
        <v>2</v>
      </c>
    </row>
    <row r="39" spans="1:13" ht="24" customHeight="1">
      <c r="A39" s="20" t="str">
        <f>C$31&amp;3</f>
        <v>23</v>
      </c>
      <c r="C39" s="149" t="e">
        <f>VLOOKUP($A39,trifin1,3,FALSE)</f>
        <v>#N/A</v>
      </c>
      <c r="D39" s="150" t="e">
        <f>VLOOKUP($A39,trifin1,9,FALSE)</f>
        <v>#N/A</v>
      </c>
      <c r="E39" s="151" t="e">
        <f>VLOOKUP($A39,trifin1,5,FALSE)</f>
        <v>#N/A</v>
      </c>
      <c r="F39" s="151" t="e">
        <f>VLOOKUP($A39,trifin1,6,FALSE)</f>
        <v>#N/A</v>
      </c>
      <c r="G39" s="426" t="e">
        <f>IF(F39="","",E39/F39)</f>
        <v>#N/A</v>
      </c>
      <c r="H39" s="426" t="e">
        <f>IF(E39=DISTANCE,G39,"-")</f>
        <v>#N/A</v>
      </c>
      <c r="I39" s="151" t="e">
        <f>VLOOKUP($A39,trifin1,7,FALSE)</f>
        <v>#N/A</v>
      </c>
      <c r="J39" s="469" t="e">
        <f>VLOOKUP($A39,trifin1,8,FALSE)</f>
        <v>#N/A</v>
      </c>
      <c r="K39" s="466"/>
      <c r="M39">
        <v>3</v>
      </c>
    </row>
    <row r="40" spans="1:13" ht="24" customHeight="1">
      <c r="A40" s="20" t="str">
        <f>C$31&amp;4</f>
        <v>24</v>
      </c>
      <c r="C40" s="149" t="e">
        <f>VLOOKUP($A40,trifin1,3,FALSE)</f>
        <v>#N/A</v>
      </c>
      <c r="D40" s="150" t="e">
        <f>VLOOKUP($A40,trifin1,9,FALSE)</f>
        <v>#N/A</v>
      </c>
      <c r="E40" s="151" t="e">
        <f>VLOOKUP($A40,trifin1,5,FALSE)</f>
        <v>#N/A</v>
      </c>
      <c r="F40" s="151" t="e">
        <f>VLOOKUP($A40,trifin1,6,FALSE)</f>
        <v>#N/A</v>
      </c>
      <c r="G40" s="426" t="e">
        <f>IF(F40="","",E40/F40)</f>
        <v>#N/A</v>
      </c>
      <c r="H40" s="426" t="e">
        <f>IF(E40=DISTANCE,G40,"-")</f>
        <v>#N/A</v>
      </c>
      <c r="I40" s="151" t="e">
        <f>VLOOKUP($A40,trifin1,7,FALSE)</f>
        <v>#N/A</v>
      </c>
      <c r="J40" s="469" t="e">
        <f>VLOOKUP($A40,trifin1,8,FALSE)</f>
        <v>#N/A</v>
      </c>
      <c r="K40" s="466"/>
      <c r="M40">
        <v>4</v>
      </c>
    </row>
    <row r="41" spans="1:13" ht="24" customHeight="1" thickBot="1">
      <c r="A41" s="20" t="str">
        <f>C$31&amp;5</f>
        <v>25</v>
      </c>
      <c r="C41" s="152" t="e">
        <f>VLOOKUP($A41,trifin1,3,FALSE)</f>
        <v>#N/A</v>
      </c>
      <c r="D41" s="153" t="e">
        <f>VLOOKUP($A41,trifin1,9,FALSE)</f>
        <v>#N/A</v>
      </c>
      <c r="E41" s="154" t="e">
        <f>VLOOKUP($A41,trifin1,5,FALSE)</f>
        <v>#N/A</v>
      </c>
      <c r="F41" s="154" t="e">
        <f>VLOOKUP($A41,trifin1,6,FALSE)</f>
        <v>#N/A</v>
      </c>
      <c r="G41" s="427" t="e">
        <f>IF(F41="","",E41/F41)</f>
        <v>#N/A</v>
      </c>
      <c r="H41" s="427" t="e">
        <f>IF(E41=DISTANCE,G41,"-")</f>
        <v>#N/A</v>
      </c>
      <c r="I41" s="154" t="e">
        <f>VLOOKUP($A41,trifin1,7,FALSE)</f>
        <v>#N/A</v>
      </c>
      <c r="J41" s="470" t="e">
        <f>VLOOKUP($A41,trifin1,8,FALSE)</f>
        <v>#N/A</v>
      </c>
      <c r="K41" s="466"/>
      <c r="M41">
        <v>5</v>
      </c>
    </row>
    <row r="42" spans="3:11" ht="24" customHeight="1" thickBot="1">
      <c r="C42" s="155"/>
      <c r="D42" s="156" t="s">
        <v>68</v>
      </c>
      <c r="E42" s="157" t="e">
        <f>SUM(E37:E41)</f>
        <v>#N/A</v>
      </c>
      <c r="F42" s="157" t="e">
        <f>SUM(F37:F41)</f>
        <v>#N/A</v>
      </c>
      <c r="G42" s="428" t="e">
        <f>IF(F42=0,"",E42/F42)</f>
        <v>#N/A</v>
      </c>
      <c r="H42" s="428" t="e">
        <f>MAX(H37:H41)</f>
        <v>#N/A</v>
      </c>
      <c r="I42" s="158" t="e">
        <f>MAX(I37:I41)</f>
        <v>#N/A</v>
      </c>
      <c r="J42" s="471" t="e">
        <f>SUM(J37:J41)</f>
        <v>#N/A</v>
      </c>
      <c r="K42" s="466"/>
    </row>
    <row r="44" spans="3:6" ht="15.75">
      <c r="C44" s="555" t="s">
        <v>69</v>
      </c>
      <c r="D44" s="555"/>
      <c r="E44" s="555"/>
      <c r="F44" s="86" t="str">
        <f>VLOOKUP($C33,clasfin2,9,FALSE)</f>
        <v>1er</v>
      </c>
    </row>
    <row r="46" spans="3:8" ht="23.25">
      <c r="C46" s="88">
        <f>titre</f>
        <v>0</v>
      </c>
      <c r="D46" s="88"/>
      <c r="E46" s="88"/>
      <c r="F46" s="88"/>
      <c r="H46" s="87">
        <f>dat</f>
        <v>0</v>
      </c>
    </row>
    <row r="50" ht="15.75" thickBot="1"/>
    <row r="51" spans="2:12" ht="24" thickTop="1">
      <c r="B51" s="550" t="s">
        <v>59</v>
      </c>
      <c r="C51" s="551"/>
      <c r="D51" s="551"/>
      <c r="E51" s="551"/>
      <c r="F51" s="551"/>
      <c r="G51" s="551"/>
      <c r="H51" s="551"/>
      <c r="I51" s="551"/>
      <c r="J51" s="551"/>
      <c r="K51" s="551"/>
      <c r="L51" s="552"/>
    </row>
    <row r="52" spans="2:12" ht="15">
      <c r="B52" s="76"/>
      <c r="C52" s="20"/>
      <c r="D52" s="20"/>
      <c r="E52" s="20"/>
      <c r="F52" s="20"/>
      <c r="G52" s="20"/>
      <c r="H52" s="20"/>
      <c r="I52" s="20"/>
      <c r="J52" s="20"/>
      <c r="K52" s="20"/>
      <c r="L52" s="77"/>
    </row>
    <row r="53" spans="2:12" ht="16.5" thickBot="1">
      <c r="B53" s="78"/>
      <c r="C53" s="79" t="str">
        <f>design1</f>
        <v>REGIONALE 1</v>
      </c>
      <c r="D53" s="79"/>
      <c r="E53" s="80" t="str">
        <f>design2</f>
        <v>SOUS-DISTRICT</v>
      </c>
      <c r="F53" s="81"/>
      <c r="G53" s="82" t="s">
        <v>60</v>
      </c>
      <c r="H53" s="83" t="str">
        <f>bill</f>
        <v>2m80</v>
      </c>
      <c r="I53" s="82" t="s">
        <v>61</v>
      </c>
      <c r="J53" s="83">
        <f>DISTANCE</f>
        <v>0</v>
      </c>
      <c r="K53" s="79" t="s">
        <v>23</v>
      </c>
      <c r="L53" s="89"/>
    </row>
    <row r="54" ht="15.75" thickTop="1"/>
    <row r="55" ht="15">
      <c r="I55" s="84" t="str">
        <f>modjeu</f>
        <v>3 BANDES</v>
      </c>
    </row>
    <row r="56" ht="15">
      <c r="B56" s="85" t="s">
        <v>62</v>
      </c>
    </row>
    <row r="57" ht="15.75">
      <c r="C57" s="86">
        <v>3</v>
      </c>
    </row>
    <row r="58" spans="3:10" ht="15">
      <c r="C58" s="85" t="s">
        <v>12</v>
      </c>
      <c r="E58" s="85" t="s">
        <v>1</v>
      </c>
      <c r="G58" s="41" t="s">
        <v>2</v>
      </c>
      <c r="I58" s="553" t="s">
        <v>63</v>
      </c>
      <c r="J58" s="553"/>
    </row>
    <row r="59" spans="3:10" ht="15.75">
      <c r="C59" s="87">
        <f>VLOOKUP($C57,init1,2,FALSE)</f>
        <v>0</v>
      </c>
      <c r="D59" s="87"/>
      <c r="E59" s="87">
        <f>VLOOKUP($C57,init1,3,FALSE)</f>
        <v>0</v>
      </c>
      <c r="F59" s="87"/>
      <c r="G59" s="72">
        <f>VLOOKUP($C57,init1,4,FALSE)</f>
        <v>0</v>
      </c>
      <c r="H59" s="87"/>
      <c r="I59" s="554">
        <f>VLOOKUP($C57,init1,5,FALSE)</f>
        <v>0</v>
      </c>
      <c r="J59" s="554"/>
    </row>
    <row r="61" ht="15.75" thickBot="1">
      <c r="K61" s="20"/>
    </row>
    <row r="62" spans="3:11" ht="24" customHeight="1" thickBot="1">
      <c r="C62" s="143" t="s">
        <v>64</v>
      </c>
      <c r="D62" s="144" t="s">
        <v>65</v>
      </c>
      <c r="E62" s="145" t="s">
        <v>5</v>
      </c>
      <c r="F62" s="145" t="s">
        <v>9</v>
      </c>
      <c r="G62" s="145" t="s">
        <v>10</v>
      </c>
      <c r="H62" s="145" t="s">
        <v>11</v>
      </c>
      <c r="I62" s="145" t="s">
        <v>6</v>
      </c>
      <c r="J62" s="467" t="s">
        <v>66</v>
      </c>
      <c r="K62" s="465"/>
    </row>
    <row r="63" spans="1:13" ht="24" customHeight="1">
      <c r="A63" s="20" t="str">
        <f>C$57&amp;1</f>
        <v>31</v>
      </c>
      <c r="C63" s="146" t="e">
        <f>VLOOKUP($A63,trifin1,3,FALSE)</f>
        <v>#N/A</v>
      </c>
      <c r="D63" s="147" t="e">
        <f>VLOOKUP($A63,trifin1,9,FALSE)</f>
        <v>#N/A</v>
      </c>
      <c r="E63" s="148" t="e">
        <f>VLOOKUP($A63,trifin1,5,FALSE)</f>
        <v>#N/A</v>
      </c>
      <c r="F63" s="148" t="e">
        <f>VLOOKUP($A63,trifin1,6,FALSE)</f>
        <v>#N/A</v>
      </c>
      <c r="G63" s="424" t="e">
        <f>IF(F63="","",E63/F63)</f>
        <v>#N/A</v>
      </c>
      <c r="H63" s="425" t="e">
        <f>IF(E63=DISTANCE,G63,"-")</f>
        <v>#N/A</v>
      </c>
      <c r="I63" s="148" t="e">
        <f>VLOOKUP($A63,trifin1,7,FALSE)</f>
        <v>#N/A</v>
      </c>
      <c r="J63" s="468" t="e">
        <f>VLOOKUP($A63,trifin1,8,FALSE)</f>
        <v>#N/A</v>
      </c>
      <c r="K63" s="465"/>
      <c r="M63">
        <v>1</v>
      </c>
    </row>
    <row r="64" spans="1:13" ht="24" customHeight="1">
      <c r="A64" s="20" t="str">
        <f>C$57&amp;2</f>
        <v>32</v>
      </c>
      <c r="C64" s="149" t="e">
        <f>VLOOKUP($A64,trifin1,3,FALSE)</f>
        <v>#N/A</v>
      </c>
      <c r="D64" s="150" t="e">
        <f>VLOOKUP($A64,trifin1,9,FALSE)</f>
        <v>#N/A</v>
      </c>
      <c r="E64" s="151" t="e">
        <f>VLOOKUP($A64,trifin1,5,FALSE)</f>
        <v>#N/A</v>
      </c>
      <c r="F64" s="151" t="e">
        <f>VLOOKUP($A64,trifin1,6,FALSE)</f>
        <v>#N/A</v>
      </c>
      <c r="G64" s="426" t="e">
        <f>IF(F64="","",E64/F64)</f>
        <v>#N/A</v>
      </c>
      <c r="H64" s="426" t="e">
        <f>IF(E64=DISTANCE,G64,"-")</f>
        <v>#N/A</v>
      </c>
      <c r="I64" s="151" t="e">
        <f>VLOOKUP($A64,trifin1,7,FALSE)</f>
        <v>#N/A</v>
      </c>
      <c r="J64" s="469" t="e">
        <f>VLOOKUP($A64,trifin1,8,FALSE)</f>
        <v>#N/A</v>
      </c>
      <c r="K64" s="465"/>
      <c r="M64">
        <v>2</v>
      </c>
    </row>
    <row r="65" spans="1:13" ht="24" customHeight="1">
      <c r="A65" s="20" t="str">
        <f>C$57&amp;3</f>
        <v>33</v>
      </c>
      <c r="C65" s="149" t="e">
        <f>VLOOKUP($A65,trifin1,3,FALSE)</f>
        <v>#N/A</v>
      </c>
      <c r="D65" s="150" t="e">
        <f>VLOOKUP($A65,trifin1,9,FALSE)</f>
        <v>#N/A</v>
      </c>
      <c r="E65" s="151" t="e">
        <f>VLOOKUP($A65,trifin1,5,FALSE)</f>
        <v>#N/A</v>
      </c>
      <c r="F65" s="151" t="e">
        <f>VLOOKUP($A65,trifin1,6,FALSE)</f>
        <v>#N/A</v>
      </c>
      <c r="G65" s="426" t="e">
        <f>IF(F65="","",E65/F65)</f>
        <v>#N/A</v>
      </c>
      <c r="H65" s="426" t="e">
        <f>IF(E65=DISTANCE,G65,"-")</f>
        <v>#N/A</v>
      </c>
      <c r="I65" s="151" t="e">
        <f>VLOOKUP($A65,trifin1,7,FALSE)</f>
        <v>#N/A</v>
      </c>
      <c r="J65" s="469" t="e">
        <f>VLOOKUP($A65,trifin1,8,FALSE)</f>
        <v>#N/A</v>
      </c>
      <c r="K65" s="466"/>
      <c r="M65">
        <v>3</v>
      </c>
    </row>
    <row r="66" spans="1:13" ht="24" customHeight="1">
      <c r="A66" s="20" t="str">
        <f>C$57&amp;4</f>
        <v>34</v>
      </c>
      <c r="C66" s="149" t="e">
        <f>VLOOKUP($A66,trifin1,3,FALSE)</f>
        <v>#N/A</v>
      </c>
      <c r="D66" s="150" t="e">
        <f>VLOOKUP($A66,trifin1,9,FALSE)</f>
        <v>#N/A</v>
      </c>
      <c r="E66" s="151" t="e">
        <f>VLOOKUP($A66,trifin1,5,FALSE)</f>
        <v>#N/A</v>
      </c>
      <c r="F66" s="151" t="e">
        <f>VLOOKUP($A66,trifin1,6,FALSE)</f>
        <v>#N/A</v>
      </c>
      <c r="G66" s="426" t="e">
        <f>IF(F66="","",E66/F66)</f>
        <v>#N/A</v>
      </c>
      <c r="H66" s="426" t="e">
        <f>IF(E66=DISTANCE,G66,"-")</f>
        <v>#N/A</v>
      </c>
      <c r="I66" s="151" t="e">
        <f>VLOOKUP($A66,trifin1,7,FALSE)</f>
        <v>#N/A</v>
      </c>
      <c r="J66" s="469" t="e">
        <f>VLOOKUP($A66,trifin1,8,FALSE)</f>
        <v>#N/A</v>
      </c>
      <c r="K66" s="466"/>
      <c r="M66">
        <v>4</v>
      </c>
    </row>
    <row r="67" spans="1:13" ht="24" customHeight="1" thickBot="1">
      <c r="A67" s="20" t="str">
        <f>C$57&amp;5</f>
        <v>35</v>
      </c>
      <c r="C67" s="152" t="e">
        <f>VLOOKUP($A67,trifin1,3,FALSE)</f>
        <v>#N/A</v>
      </c>
      <c r="D67" s="153" t="e">
        <f>VLOOKUP($A67,trifin1,9,FALSE)</f>
        <v>#N/A</v>
      </c>
      <c r="E67" s="154" t="e">
        <f>VLOOKUP($A67,trifin1,5,FALSE)</f>
        <v>#N/A</v>
      </c>
      <c r="F67" s="154" t="e">
        <f>VLOOKUP($A67,trifin1,6,FALSE)</f>
        <v>#N/A</v>
      </c>
      <c r="G67" s="427" t="e">
        <f>IF(F67="","",E67/F67)</f>
        <v>#N/A</v>
      </c>
      <c r="H67" s="427" t="e">
        <f>IF(E67=DISTANCE,G67,"-")</f>
        <v>#N/A</v>
      </c>
      <c r="I67" s="154" t="e">
        <f>VLOOKUP($A67,trifin1,7,FALSE)</f>
        <v>#N/A</v>
      </c>
      <c r="J67" s="470" t="e">
        <f>VLOOKUP($A67,trifin1,8,FALSE)</f>
        <v>#N/A</v>
      </c>
      <c r="K67" s="466"/>
      <c r="M67">
        <v>5</v>
      </c>
    </row>
    <row r="68" spans="3:11" ht="24" customHeight="1" thickBot="1">
      <c r="C68" s="155"/>
      <c r="D68" s="156" t="s">
        <v>68</v>
      </c>
      <c r="E68" s="157" t="e">
        <f>SUM(E63:E67)</f>
        <v>#N/A</v>
      </c>
      <c r="F68" s="157" t="e">
        <f>SUM(F63:F67)</f>
        <v>#N/A</v>
      </c>
      <c r="G68" s="428" t="e">
        <f>IF(F68=0,"",E68/F68)</f>
        <v>#N/A</v>
      </c>
      <c r="H68" s="428" t="e">
        <f>MAX(H63:H67)</f>
        <v>#N/A</v>
      </c>
      <c r="I68" s="158" t="e">
        <f>MAX(I63:I67)</f>
        <v>#N/A</v>
      </c>
      <c r="J68" s="471" t="e">
        <f>SUM(J63:J67)</f>
        <v>#N/A</v>
      </c>
      <c r="K68" s="466"/>
    </row>
    <row r="70" spans="3:6" ht="15.75">
      <c r="C70" s="555" t="s">
        <v>69</v>
      </c>
      <c r="D70" s="555"/>
      <c r="E70" s="555"/>
      <c r="F70" s="86" t="str">
        <f>VLOOKUP($C59,clasfin2,9,FALSE)</f>
        <v>1er</v>
      </c>
    </row>
    <row r="72" spans="3:8" ht="23.25">
      <c r="C72" s="88">
        <f>titre</f>
        <v>0</v>
      </c>
      <c r="D72" s="88"/>
      <c r="E72" s="88"/>
      <c r="F72" s="88"/>
      <c r="H72" s="87">
        <f>dat</f>
        <v>0</v>
      </c>
    </row>
    <row r="74" ht="15.75" thickBot="1"/>
    <row r="75" spans="2:12" ht="24" thickTop="1">
      <c r="B75" s="550" t="s">
        <v>59</v>
      </c>
      <c r="C75" s="551"/>
      <c r="D75" s="551"/>
      <c r="E75" s="551"/>
      <c r="F75" s="551"/>
      <c r="G75" s="551"/>
      <c r="H75" s="551"/>
      <c r="I75" s="551"/>
      <c r="J75" s="551"/>
      <c r="K75" s="551"/>
      <c r="L75" s="552"/>
    </row>
    <row r="76" spans="2:12" ht="15">
      <c r="B76" s="76"/>
      <c r="C76" s="20"/>
      <c r="D76" s="20"/>
      <c r="E76" s="20"/>
      <c r="F76" s="20"/>
      <c r="G76" s="20"/>
      <c r="H76" s="20"/>
      <c r="I76" s="20"/>
      <c r="J76" s="20"/>
      <c r="K76" s="20"/>
      <c r="L76" s="77"/>
    </row>
    <row r="77" spans="2:12" ht="16.5" thickBot="1">
      <c r="B77" s="78"/>
      <c r="C77" s="79" t="str">
        <f>design1</f>
        <v>REGIONALE 1</v>
      </c>
      <c r="D77" s="79"/>
      <c r="E77" s="80" t="str">
        <f>design2</f>
        <v>SOUS-DISTRICT</v>
      </c>
      <c r="F77" s="81"/>
      <c r="G77" s="82" t="s">
        <v>60</v>
      </c>
      <c r="H77" s="83" t="str">
        <f>bill</f>
        <v>2m80</v>
      </c>
      <c r="I77" s="82" t="s">
        <v>61</v>
      </c>
      <c r="J77" s="83">
        <f>DISTANCE</f>
        <v>0</v>
      </c>
      <c r="K77" s="79" t="s">
        <v>23</v>
      </c>
      <c r="L77" s="89"/>
    </row>
    <row r="78" ht="15.75" thickTop="1"/>
    <row r="79" ht="15">
      <c r="I79" s="84" t="str">
        <f>modjeu</f>
        <v>3 BANDES</v>
      </c>
    </row>
    <row r="80" ht="15">
      <c r="B80" s="85" t="s">
        <v>62</v>
      </c>
    </row>
    <row r="81" ht="15.75">
      <c r="C81" s="86">
        <v>4</v>
      </c>
    </row>
    <row r="82" spans="3:10" ht="15">
      <c r="C82" s="85" t="s">
        <v>12</v>
      </c>
      <c r="E82" s="85" t="s">
        <v>1</v>
      </c>
      <c r="G82" s="41" t="s">
        <v>2</v>
      </c>
      <c r="I82" s="553" t="s">
        <v>63</v>
      </c>
      <c r="J82" s="553"/>
    </row>
    <row r="83" spans="3:10" ht="15.75">
      <c r="C83" s="87">
        <f>VLOOKUP($C81,init1,2,FALSE)</f>
        <v>0</v>
      </c>
      <c r="D83" s="87"/>
      <c r="E83" s="87">
        <f>VLOOKUP($C81,init1,3,FALSE)</f>
        <v>0</v>
      </c>
      <c r="F83" s="87"/>
      <c r="G83" s="72">
        <f>VLOOKUP($C81,init1,4,FALSE)</f>
        <v>0</v>
      </c>
      <c r="H83" s="87"/>
      <c r="I83" s="554">
        <f>VLOOKUP($C81,init1,5,FALSE)</f>
        <v>0</v>
      </c>
      <c r="J83" s="554"/>
    </row>
    <row r="85" ht="15.75" thickBot="1"/>
    <row r="86" spans="3:11" ht="24" customHeight="1" thickBot="1">
      <c r="C86" s="143" t="s">
        <v>64</v>
      </c>
      <c r="D86" s="144" t="s">
        <v>65</v>
      </c>
      <c r="E86" s="145" t="s">
        <v>5</v>
      </c>
      <c r="F86" s="145" t="s">
        <v>9</v>
      </c>
      <c r="G86" s="145" t="s">
        <v>10</v>
      </c>
      <c r="H86" s="145" t="s">
        <v>11</v>
      </c>
      <c r="I86" s="145" t="s">
        <v>6</v>
      </c>
      <c r="J86" s="467" t="s">
        <v>66</v>
      </c>
      <c r="K86" s="465"/>
    </row>
    <row r="87" spans="1:13" ht="24" customHeight="1">
      <c r="A87" s="20" t="str">
        <f>C$81&amp;1</f>
        <v>41</v>
      </c>
      <c r="C87" s="146" t="e">
        <f>VLOOKUP($A87,trifin1,3,FALSE)</f>
        <v>#N/A</v>
      </c>
      <c r="D87" s="147" t="e">
        <f>VLOOKUP($A87,trifin1,9,FALSE)</f>
        <v>#N/A</v>
      </c>
      <c r="E87" s="148" t="e">
        <f>VLOOKUP($A87,trifin1,5,FALSE)</f>
        <v>#N/A</v>
      </c>
      <c r="F87" s="148" t="e">
        <f>VLOOKUP($A87,trifin1,6,FALSE)</f>
        <v>#N/A</v>
      </c>
      <c r="G87" s="424" t="e">
        <f>IF(F87="","",E87/F87)</f>
        <v>#N/A</v>
      </c>
      <c r="H87" s="425" t="e">
        <f>IF(E87=DISTANCE,G87,"-")</f>
        <v>#N/A</v>
      </c>
      <c r="I87" s="148" t="e">
        <f>VLOOKUP($A87,trifin1,7,FALSE)</f>
        <v>#N/A</v>
      </c>
      <c r="J87" s="468" t="e">
        <f>VLOOKUP($A87,trifin1,8,FALSE)</f>
        <v>#N/A</v>
      </c>
      <c r="K87" s="465"/>
      <c r="M87">
        <v>1</v>
      </c>
    </row>
    <row r="88" spans="1:13" ht="24" customHeight="1">
      <c r="A88" s="20" t="str">
        <f>C$81&amp;2</f>
        <v>42</v>
      </c>
      <c r="C88" s="149" t="e">
        <f>VLOOKUP($A88,trifin1,3,FALSE)</f>
        <v>#N/A</v>
      </c>
      <c r="D88" s="150" t="e">
        <f>VLOOKUP($A88,trifin1,9,FALSE)</f>
        <v>#N/A</v>
      </c>
      <c r="E88" s="151" t="e">
        <f>VLOOKUP($A88,trifin1,5,FALSE)</f>
        <v>#N/A</v>
      </c>
      <c r="F88" s="151" t="e">
        <f>VLOOKUP($A88,trifin1,6,FALSE)</f>
        <v>#N/A</v>
      </c>
      <c r="G88" s="426" t="e">
        <f>IF(F88="","",E88/F88)</f>
        <v>#N/A</v>
      </c>
      <c r="H88" s="426" t="e">
        <f>IF(E88=DISTANCE,G88,"-")</f>
        <v>#N/A</v>
      </c>
      <c r="I88" s="151" t="e">
        <f>VLOOKUP($A88,trifin1,7,FALSE)</f>
        <v>#N/A</v>
      </c>
      <c r="J88" s="469" t="e">
        <f>VLOOKUP($A88,trifin1,8,FALSE)</f>
        <v>#N/A</v>
      </c>
      <c r="K88" s="465"/>
      <c r="M88">
        <v>2</v>
      </c>
    </row>
    <row r="89" spans="1:13" ht="24" customHeight="1">
      <c r="A89" s="20" t="str">
        <f>C$81&amp;3</f>
        <v>43</v>
      </c>
      <c r="C89" s="149" t="e">
        <f>VLOOKUP($A89,trifin1,3,FALSE)</f>
        <v>#N/A</v>
      </c>
      <c r="D89" s="150" t="e">
        <f>VLOOKUP($A89,trifin1,9,FALSE)</f>
        <v>#N/A</v>
      </c>
      <c r="E89" s="151" t="e">
        <f>VLOOKUP($A89,trifin1,5,FALSE)</f>
        <v>#N/A</v>
      </c>
      <c r="F89" s="151" t="e">
        <f>VLOOKUP($A89,trifin1,6,FALSE)</f>
        <v>#N/A</v>
      </c>
      <c r="G89" s="426" t="e">
        <f>IF(F89="","",E89/F89)</f>
        <v>#N/A</v>
      </c>
      <c r="H89" s="426" t="e">
        <f>IF(E89=DISTANCE,G89,"-")</f>
        <v>#N/A</v>
      </c>
      <c r="I89" s="151" t="e">
        <f>VLOOKUP($A89,trifin1,7,FALSE)</f>
        <v>#N/A</v>
      </c>
      <c r="J89" s="469" t="e">
        <f>VLOOKUP($A89,trifin1,8,FALSE)</f>
        <v>#N/A</v>
      </c>
      <c r="K89" s="466"/>
      <c r="M89">
        <v>3</v>
      </c>
    </row>
    <row r="90" spans="1:13" ht="24" customHeight="1">
      <c r="A90" s="20" t="str">
        <f>C$81&amp;4</f>
        <v>44</v>
      </c>
      <c r="C90" s="149" t="e">
        <f>VLOOKUP($A90,trifin1,3,FALSE)</f>
        <v>#N/A</v>
      </c>
      <c r="D90" s="150" t="e">
        <f>VLOOKUP($A90,trifin1,9,FALSE)</f>
        <v>#N/A</v>
      </c>
      <c r="E90" s="151" t="e">
        <f>VLOOKUP($A90,trifin1,5,FALSE)</f>
        <v>#N/A</v>
      </c>
      <c r="F90" s="151" t="e">
        <f>VLOOKUP($A90,trifin1,6,FALSE)</f>
        <v>#N/A</v>
      </c>
      <c r="G90" s="426" t="e">
        <f>IF(F90="","",E90/F90)</f>
        <v>#N/A</v>
      </c>
      <c r="H90" s="426" t="e">
        <f>IF(E90=DISTANCE,G90,"-")</f>
        <v>#N/A</v>
      </c>
      <c r="I90" s="151" t="e">
        <f>VLOOKUP($A90,trifin1,7,FALSE)</f>
        <v>#N/A</v>
      </c>
      <c r="J90" s="469" t="e">
        <f>VLOOKUP($A90,trifin1,8,FALSE)</f>
        <v>#N/A</v>
      </c>
      <c r="K90" s="466"/>
      <c r="M90">
        <v>4</v>
      </c>
    </row>
    <row r="91" spans="1:13" ht="24" customHeight="1" thickBot="1">
      <c r="A91" s="20" t="str">
        <f>C$81&amp;5</f>
        <v>45</v>
      </c>
      <c r="C91" s="152" t="e">
        <f>VLOOKUP($A91,trifin1,3,FALSE)</f>
        <v>#N/A</v>
      </c>
      <c r="D91" s="153" t="e">
        <f>VLOOKUP($A91,trifin1,9,FALSE)</f>
        <v>#N/A</v>
      </c>
      <c r="E91" s="154" t="e">
        <f>VLOOKUP($A91,trifin1,5,FALSE)</f>
        <v>#N/A</v>
      </c>
      <c r="F91" s="154" t="e">
        <f>VLOOKUP($A91,trifin1,6,FALSE)</f>
        <v>#N/A</v>
      </c>
      <c r="G91" s="427" t="e">
        <f>IF(F91="","",E91/F91)</f>
        <v>#N/A</v>
      </c>
      <c r="H91" s="427" t="e">
        <f>IF(E91=DISTANCE,G91,"-")</f>
        <v>#N/A</v>
      </c>
      <c r="I91" s="154" t="e">
        <f>VLOOKUP($A91,trifin1,7,FALSE)</f>
        <v>#N/A</v>
      </c>
      <c r="J91" s="470" t="e">
        <f>VLOOKUP($A91,trifin1,8,FALSE)</f>
        <v>#N/A</v>
      </c>
      <c r="K91" s="466"/>
      <c r="M91">
        <v>5</v>
      </c>
    </row>
    <row r="92" spans="3:11" ht="24" customHeight="1" thickBot="1">
      <c r="C92" s="155"/>
      <c r="D92" s="156" t="s">
        <v>68</v>
      </c>
      <c r="E92" s="157" t="e">
        <f>SUM(E87:E91)</f>
        <v>#N/A</v>
      </c>
      <c r="F92" s="157" t="e">
        <f>SUM(F87:F91)</f>
        <v>#N/A</v>
      </c>
      <c r="G92" s="428" t="e">
        <f>IF(F92=0,"",E92/F92)</f>
        <v>#N/A</v>
      </c>
      <c r="H92" s="428" t="e">
        <f>MAX(H87:H91)</f>
        <v>#N/A</v>
      </c>
      <c r="I92" s="158" t="e">
        <f>MAX(I87:I91)</f>
        <v>#N/A</v>
      </c>
      <c r="J92" s="471" t="e">
        <f>SUM(J87:J91)</f>
        <v>#N/A</v>
      </c>
      <c r="K92" s="466"/>
    </row>
    <row r="94" spans="3:6" ht="15.75">
      <c r="C94" s="555" t="s">
        <v>69</v>
      </c>
      <c r="D94" s="555"/>
      <c r="E94" s="555"/>
      <c r="F94" s="86" t="str">
        <f>VLOOKUP($C83,clasfin2,9,FALSE)</f>
        <v>1er</v>
      </c>
    </row>
    <row r="96" spans="3:8" ht="23.25">
      <c r="C96" s="88">
        <f>titre</f>
        <v>0</v>
      </c>
      <c r="D96" s="88"/>
      <c r="E96" s="88"/>
      <c r="F96" s="88"/>
      <c r="H96" s="87">
        <f>dat</f>
        <v>0</v>
      </c>
    </row>
    <row r="100" ht="15.75" thickBot="1"/>
    <row r="101" spans="2:12" ht="24" thickTop="1">
      <c r="B101" s="550" t="s">
        <v>59</v>
      </c>
      <c r="C101" s="551"/>
      <c r="D101" s="551"/>
      <c r="E101" s="551"/>
      <c r="F101" s="551"/>
      <c r="G101" s="551"/>
      <c r="H101" s="551"/>
      <c r="I101" s="551"/>
      <c r="J101" s="551"/>
      <c r="K101" s="551"/>
      <c r="L101" s="552"/>
    </row>
    <row r="102" spans="2:12" ht="15">
      <c r="B102" s="76"/>
      <c r="C102" s="20"/>
      <c r="D102" s="20"/>
      <c r="E102" s="20"/>
      <c r="F102" s="20"/>
      <c r="G102" s="20"/>
      <c r="H102" s="20"/>
      <c r="I102" s="20"/>
      <c r="J102" s="20"/>
      <c r="K102" s="20"/>
      <c r="L102" s="77"/>
    </row>
    <row r="103" spans="2:12" ht="16.5" thickBot="1">
      <c r="B103" s="78"/>
      <c r="C103" s="79" t="str">
        <f>design1</f>
        <v>REGIONALE 1</v>
      </c>
      <c r="D103" s="79"/>
      <c r="E103" s="80" t="str">
        <f>design2</f>
        <v>SOUS-DISTRICT</v>
      </c>
      <c r="F103" s="81"/>
      <c r="G103" s="82" t="s">
        <v>60</v>
      </c>
      <c r="H103" s="83" t="str">
        <f>bill</f>
        <v>2m80</v>
      </c>
      <c r="I103" s="82" t="s">
        <v>61</v>
      </c>
      <c r="J103" s="83">
        <f>DISTANCE</f>
        <v>0</v>
      </c>
      <c r="K103" s="79" t="s">
        <v>23</v>
      </c>
      <c r="L103" s="89"/>
    </row>
    <row r="104" ht="15.75" thickTop="1"/>
    <row r="105" ht="15">
      <c r="I105" s="84" t="str">
        <f>modjeu</f>
        <v>3 BANDES</v>
      </c>
    </row>
    <row r="106" ht="15">
      <c r="B106" s="85" t="s">
        <v>62</v>
      </c>
    </row>
    <row r="107" ht="15.75">
      <c r="C107" s="86">
        <v>5</v>
      </c>
    </row>
    <row r="108" spans="3:10" ht="15">
      <c r="C108" s="85" t="s">
        <v>12</v>
      </c>
      <c r="E108" s="85" t="s">
        <v>1</v>
      </c>
      <c r="G108" s="41" t="s">
        <v>2</v>
      </c>
      <c r="I108" s="553" t="s">
        <v>63</v>
      </c>
      <c r="J108" s="553"/>
    </row>
    <row r="109" spans="3:10" ht="15.75">
      <c r="C109" s="87">
        <f>VLOOKUP($C107,init1,2,FALSE)</f>
        <v>0</v>
      </c>
      <c r="D109" s="87"/>
      <c r="E109" s="87">
        <f>VLOOKUP($C107,init1,3,FALSE)</f>
        <v>0</v>
      </c>
      <c r="F109" s="87"/>
      <c r="G109" s="72">
        <f>VLOOKUP($C107,init1,4,FALSE)</f>
        <v>0</v>
      </c>
      <c r="H109" s="87"/>
      <c r="I109" s="554">
        <f>VLOOKUP($C107,init1,5,FALSE)</f>
        <v>0</v>
      </c>
      <c r="J109" s="554"/>
    </row>
    <row r="111" ht="15.75" thickBot="1"/>
    <row r="112" spans="3:11" ht="24" customHeight="1" thickBot="1">
      <c r="C112" s="143" t="s">
        <v>64</v>
      </c>
      <c r="D112" s="144" t="s">
        <v>65</v>
      </c>
      <c r="E112" s="145" t="s">
        <v>5</v>
      </c>
      <c r="F112" s="145" t="s">
        <v>9</v>
      </c>
      <c r="G112" s="145" t="s">
        <v>10</v>
      </c>
      <c r="H112" s="145" t="s">
        <v>11</v>
      </c>
      <c r="I112" s="145" t="s">
        <v>6</v>
      </c>
      <c r="J112" s="467" t="s">
        <v>66</v>
      </c>
      <c r="K112" s="465"/>
    </row>
    <row r="113" spans="1:13" ht="24" customHeight="1">
      <c r="A113" s="20" t="str">
        <f>C$107&amp;1</f>
        <v>51</v>
      </c>
      <c r="C113" s="146" t="e">
        <f>VLOOKUP($A113,trifin1,3,FALSE)</f>
        <v>#N/A</v>
      </c>
      <c r="D113" s="147" t="e">
        <f>VLOOKUP($A113,trifin1,9,FALSE)</f>
        <v>#N/A</v>
      </c>
      <c r="E113" s="148" t="e">
        <f>VLOOKUP($A113,trifin1,5,FALSE)</f>
        <v>#N/A</v>
      </c>
      <c r="F113" s="148" t="e">
        <f>VLOOKUP($A113,trifin1,6,FALSE)</f>
        <v>#N/A</v>
      </c>
      <c r="G113" s="424" t="e">
        <f>IF(F113="","",E113/F113)</f>
        <v>#N/A</v>
      </c>
      <c r="H113" s="425" t="e">
        <f>IF(E113=DISTANCE,G113,"-")</f>
        <v>#N/A</v>
      </c>
      <c r="I113" s="148" t="e">
        <f>VLOOKUP($A113,trifin1,7,FALSE)</f>
        <v>#N/A</v>
      </c>
      <c r="J113" s="468" t="e">
        <f>VLOOKUP($A113,trifin1,8,FALSE)</f>
        <v>#N/A</v>
      </c>
      <c r="K113" s="465"/>
      <c r="M113">
        <v>1</v>
      </c>
    </row>
    <row r="114" spans="1:13" ht="24" customHeight="1">
      <c r="A114" s="20" t="str">
        <f>C$107&amp;2</f>
        <v>52</v>
      </c>
      <c r="C114" s="149" t="e">
        <f>VLOOKUP($A114,trifin1,3,FALSE)</f>
        <v>#N/A</v>
      </c>
      <c r="D114" s="150" t="e">
        <f>VLOOKUP($A114,trifin1,9,FALSE)</f>
        <v>#N/A</v>
      </c>
      <c r="E114" s="151" t="e">
        <f>VLOOKUP($A114,trifin1,5,FALSE)</f>
        <v>#N/A</v>
      </c>
      <c r="F114" s="151" t="e">
        <f>VLOOKUP($A114,trifin1,6,FALSE)</f>
        <v>#N/A</v>
      </c>
      <c r="G114" s="426" t="e">
        <f>IF(F114="","",E114/F114)</f>
        <v>#N/A</v>
      </c>
      <c r="H114" s="426" t="e">
        <f>IF(E114=DISTANCE,G114,"-")</f>
        <v>#N/A</v>
      </c>
      <c r="I114" s="151" t="e">
        <f>VLOOKUP($A114,trifin1,7,FALSE)</f>
        <v>#N/A</v>
      </c>
      <c r="J114" s="469" t="e">
        <f>VLOOKUP($A114,trifin1,8,FALSE)</f>
        <v>#N/A</v>
      </c>
      <c r="K114" s="465"/>
      <c r="M114">
        <v>2</v>
      </c>
    </row>
    <row r="115" spans="1:13" ht="24" customHeight="1">
      <c r="A115" s="20" t="str">
        <f>C$107&amp;3</f>
        <v>53</v>
      </c>
      <c r="C115" s="149" t="e">
        <f>VLOOKUP($A115,trifin1,3,FALSE)</f>
        <v>#N/A</v>
      </c>
      <c r="D115" s="150" t="e">
        <f>VLOOKUP($A115,trifin1,9,FALSE)</f>
        <v>#N/A</v>
      </c>
      <c r="E115" s="151" t="e">
        <f>VLOOKUP($A115,trifin1,5,FALSE)</f>
        <v>#N/A</v>
      </c>
      <c r="F115" s="151" t="e">
        <f>VLOOKUP($A115,trifin1,6,FALSE)</f>
        <v>#N/A</v>
      </c>
      <c r="G115" s="426" t="e">
        <f>IF(F115="","",E115/F115)</f>
        <v>#N/A</v>
      </c>
      <c r="H115" s="426" t="e">
        <f>IF(E115=DISTANCE,G115,"-")</f>
        <v>#N/A</v>
      </c>
      <c r="I115" s="151" t="e">
        <f>VLOOKUP($A115,trifin1,7,FALSE)</f>
        <v>#N/A</v>
      </c>
      <c r="J115" s="469" t="e">
        <f>VLOOKUP($A115,trifin1,8,FALSE)</f>
        <v>#N/A</v>
      </c>
      <c r="K115" s="466"/>
      <c r="M115">
        <v>3</v>
      </c>
    </row>
    <row r="116" spans="1:13" ht="24" customHeight="1">
      <c r="A116" s="20" t="str">
        <f>C$107&amp;4</f>
        <v>54</v>
      </c>
      <c r="C116" s="149" t="e">
        <f>VLOOKUP($A116,trifin1,3,FALSE)</f>
        <v>#N/A</v>
      </c>
      <c r="D116" s="150" t="e">
        <f>VLOOKUP($A116,trifin1,9,FALSE)</f>
        <v>#N/A</v>
      </c>
      <c r="E116" s="151" t="e">
        <f>VLOOKUP($A116,trifin1,5,FALSE)</f>
        <v>#N/A</v>
      </c>
      <c r="F116" s="151" t="e">
        <f>VLOOKUP($A116,trifin1,6,FALSE)</f>
        <v>#N/A</v>
      </c>
      <c r="G116" s="426" t="e">
        <f>IF(F116="","",E116/F116)</f>
        <v>#N/A</v>
      </c>
      <c r="H116" s="426" t="e">
        <f>IF(E116=DISTANCE,G116,"-")</f>
        <v>#N/A</v>
      </c>
      <c r="I116" s="151" t="e">
        <f>VLOOKUP($A116,trifin1,7,FALSE)</f>
        <v>#N/A</v>
      </c>
      <c r="J116" s="469" t="e">
        <f>VLOOKUP($A116,trifin1,8,FALSE)</f>
        <v>#N/A</v>
      </c>
      <c r="K116" s="466"/>
      <c r="M116">
        <v>4</v>
      </c>
    </row>
    <row r="117" spans="1:13" ht="24" customHeight="1" thickBot="1">
      <c r="A117" s="20" t="str">
        <f>C$107&amp;5</f>
        <v>55</v>
      </c>
      <c r="C117" s="152" t="e">
        <f>VLOOKUP($A117,trifin1,3,FALSE)</f>
        <v>#N/A</v>
      </c>
      <c r="D117" s="153" t="e">
        <f>VLOOKUP($A117,trifin1,9,FALSE)</f>
        <v>#N/A</v>
      </c>
      <c r="E117" s="154" t="e">
        <f>VLOOKUP($A117,trifin1,5,FALSE)</f>
        <v>#N/A</v>
      </c>
      <c r="F117" s="154" t="e">
        <f>VLOOKUP($A117,trifin1,6,FALSE)</f>
        <v>#N/A</v>
      </c>
      <c r="G117" s="427" t="e">
        <f>IF(F117="","",E117/F117)</f>
        <v>#N/A</v>
      </c>
      <c r="H117" s="427" t="e">
        <f>IF(E117=DISTANCE,G117,"-")</f>
        <v>#N/A</v>
      </c>
      <c r="I117" s="154" t="e">
        <f>VLOOKUP($A117,trifin1,7,FALSE)</f>
        <v>#N/A</v>
      </c>
      <c r="J117" s="470" t="e">
        <f>VLOOKUP($A117,trifin1,8,FALSE)</f>
        <v>#N/A</v>
      </c>
      <c r="K117" s="466"/>
      <c r="M117">
        <v>5</v>
      </c>
    </row>
    <row r="118" spans="3:11" ht="24" customHeight="1" thickBot="1">
      <c r="C118" s="155"/>
      <c r="D118" s="156" t="s">
        <v>68</v>
      </c>
      <c r="E118" s="157" t="e">
        <f>SUM(E113:E117)</f>
        <v>#N/A</v>
      </c>
      <c r="F118" s="157" t="e">
        <f>SUM(F113:F117)</f>
        <v>#N/A</v>
      </c>
      <c r="G118" s="428" t="e">
        <f>IF(F118=0,"",E118/F118)</f>
        <v>#N/A</v>
      </c>
      <c r="H118" s="428" t="e">
        <f>MAX(H113:H117)</f>
        <v>#N/A</v>
      </c>
      <c r="I118" s="158" t="e">
        <f>MAX(I113:I117)</f>
        <v>#N/A</v>
      </c>
      <c r="J118" s="471" t="e">
        <f>SUM(J113:J117)</f>
        <v>#N/A</v>
      </c>
      <c r="K118" s="466"/>
    </row>
    <row r="120" spans="3:6" ht="15.75">
      <c r="C120" s="555" t="s">
        <v>69</v>
      </c>
      <c r="D120" s="555"/>
      <c r="E120" s="555"/>
      <c r="F120" s="86" t="str">
        <f>VLOOKUP($C109,clasfin2,9,FALSE)</f>
        <v>1er</v>
      </c>
    </row>
    <row r="122" spans="3:8" ht="23.25">
      <c r="C122" s="88">
        <f>titre</f>
        <v>0</v>
      </c>
      <c r="D122" s="88"/>
      <c r="E122" s="88"/>
      <c r="F122" s="88"/>
      <c r="H122" s="87">
        <f>dat</f>
        <v>0</v>
      </c>
    </row>
    <row r="124" ht="15.75" thickBot="1"/>
    <row r="125" spans="2:12" ht="24" thickTop="1">
      <c r="B125" s="550" t="s">
        <v>59</v>
      </c>
      <c r="C125" s="551"/>
      <c r="D125" s="551"/>
      <c r="E125" s="551"/>
      <c r="F125" s="551"/>
      <c r="G125" s="551"/>
      <c r="H125" s="551"/>
      <c r="I125" s="551"/>
      <c r="J125" s="551"/>
      <c r="K125" s="551"/>
      <c r="L125" s="552"/>
    </row>
    <row r="126" spans="2:12" ht="15">
      <c r="B126" s="76"/>
      <c r="C126" s="20"/>
      <c r="D126" s="20"/>
      <c r="E126" s="20"/>
      <c r="F126" s="20"/>
      <c r="G126" s="20"/>
      <c r="H126" s="20"/>
      <c r="I126" s="20"/>
      <c r="J126" s="20"/>
      <c r="K126" s="20"/>
      <c r="L126" s="77"/>
    </row>
    <row r="127" spans="2:12" ht="16.5" thickBot="1">
      <c r="B127" s="78"/>
      <c r="C127" s="79" t="str">
        <f>design1</f>
        <v>REGIONALE 1</v>
      </c>
      <c r="D127" s="79"/>
      <c r="E127" s="80" t="str">
        <f>design2</f>
        <v>SOUS-DISTRICT</v>
      </c>
      <c r="F127" s="81"/>
      <c r="G127" s="82" t="s">
        <v>60</v>
      </c>
      <c r="H127" s="83" t="str">
        <f>bill</f>
        <v>2m80</v>
      </c>
      <c r="I127" s="82" t="s">
        <v>61</v>
      </c>
      <c r="J127" s="83">
        <f>DISTANCE</f>
        <v>0</v>
      </c>
      <c r="K127" s="79" t="s">
        <v>23</v>
      </c>
      <c r="L127" s="89"/>
    </row>
    <row r="128" ht="15.75" thickTop="1"/>
    <row r="129" ht="15">
      <c r="I129" s="84" t="str">
        <f>modjeu</f>
        <v>3 BANDES</v>
      </c>
    </row>
    <row r="130" ht="15">
      <c r="B130" s="85" t="s">
        <v>62</v>
      </c>
    </row>
    <row r="131" ht="15.75">
      <c r="C131" s="86">
        <v>6</v>
      </c>
    </row>
    <row r="132" spans="3:10" ht="15">
      <c r="C132" s="85" t="s">
        <v>12</v>
      </c>
      <c r="E132" s="85" t="s">
        <v>1</v>
      </c>
      <c r="G132" s="41" t="s">
        <v>2</v>
      </c>
      <c r="I132" s="553" t="s">
        <v>63</v>
      </c>
      <c r="J132" s="553"/>
    </row>
    <row r="133" spans="3:10" ht="15.75">
      <c r="C133" s="87">
        <f>VLOOKUP($C131,init1,2,FALSE)</f>
        <v>0</v>
      </c>
      <c r="D133" s="87"/>
      <c r="E133" s="87">
        <f>VLOOKUP($C131,init1,3,FALSE)</f>
        <v>0</v>
      </c>
      <c r="F133" s="87"/>
      <c r="G133" s="72">
        <f>VLOOKUP($C131,init1,4,FALSE)</f>
        <v>0</v>
      </c>
      <c r="H133" s="87"/>
      <c r="I133" s="554">
        <f>VLOOKUP($C131,init1,5,FALSE)</f>
        <v>0</v>
      </c>
      <c r="J133" s="554"/>
    </row>
    <row r="135" ht="15.75" thickBot="1"/>
    <row r="136" spans="3:11" ht="24" customHeight="1" thickBot="1">
      <c r="C136" s="143" t="s">
        <v>64</v>
      </c>
      <c r="D136" s="144" t="s">
        <v>65</v>
      </c>
      <c r="E136" s="145" t="s">
        <v>5</v>
      </c>
      <c r="F136" s="145" t="s">
        <v>9</v>
      </c>
      <c r="G136" s="145" t="s">
        <v>10</v>
      </c>
      <c r="H136" s="145" t="s">
        <v>11</v>
      </c>
      <c r="I136" s="145" t="s">
        <v>6</v>
      </c>
      <c r="J136" s="467" t="s">
        <v>66</v>
      </c>
      <c r="K136" s="465"/>
    </row>
    <row r="137" spans="1:13" ht="24" customHeight="1">
      <c r="A137" s="20" t="str">
        <f>C$131&amp;1</f>
        <v>61</v>
      </c>
      <c r="C137" s="146" t="e">
        <f>VLOOKUP($A137,trifin1,3,FALSE)</f>
        <v>#N/A</v>
      </c>
      <c r="D137" s="147" t="e">
        <f>VLOOKUP($A137,trifin1,9,FALSE)</f>
        <v>#N/A</v>
      </c>
      <c r="E137" s="148" t="e">
        <f>VLOOKUP($A137,trifin1,5,FALSE)</f>
        <v>#N/A</v>
      </c>
      <c r="F137" s="148" t="e">
        <f>VLOOKUP($A137,trifin1,6,FALSE)</f>
        <v>#N/A</v>
      </c>
      <c r="G137" s="424" t="e">
        <f>IF(F137="","",E137/F137)</f>
        <v>#N/A</v>
      </c>
      <c r="H137" s="425" t="e">
        <f>IF(E137=DISTANCE,G137,"-")</f>
        <v>#N/A</v>
      </c>
      <c r="I137" s="148" t="e">
        <f>VLOOKUP($A137,trifin1,7,FALSE)</f>
        <v>#N/A</v>
      </c>
      <c r="J137" s="468" t="e">
        <f>VLOOKUP($A137,trifin1,8,FALSE)</f>
        <v>#N/A</v>
      </c>
      <c r="K137" s="465"/>
      <c r="M137">
        <v>1</v>
      </c>
    </row>
    <row r="138" spans="1:13" ht="24" customHeight="1">
      <c r="A138" s="20" t="str">
        <f>C$131&amp;2</f>
        <v>62</v>
      </c>
      <c r="C138" s="149" t="e">
        <f>VLOOKUP($A138,trifin1,3,FALSE)</f>
        <v>#N/A</v>
      </c>
      <c r="D138" s="150" t="e">
        <f>VLOOKUP($A138,trifin1,9,FALSE)</f>
        <v>#N/A</v>
      </c>
      <c r="E138" s="151" t="e">
        <f>VLOOKUP($A138,trifin1,5,FALSE)</f>
        <v>#N/A</v>
      </c>
      <c r="F138" s="151" t="e">
        <f>VLOOKUP($A138,trifin1,6,FALSE)</f>
        <v>#N/A</v>
      </c>
      <c r="G138" s="426" t="e">
        <f>IF(F138="","",E138/F138)</f>
        <v>#N/A</v>
      </c>
      <c r="H138" s="426" t="e">
        <f>IF(E138=DISTANCE,G138,"-")</f>
        <v>#N/A</v>
      </c>
      <c r="I138" s="151" t="e">
        <f>VLOOKUP($A138,trifin1,7,FALSE)</f>
        <v>#N/A</v>
      </c>
      <c r="J138" s="469" t="e">
        <f>VLOOKUP($A138,trifin1,8,FALSE)</f>
        <v>#N/A</v>
      </c>
      <c r="K138" s="465"/>
      <c r="M138">
        <v>2</v>
      </c>
    </row>
    <row r="139" spans="1:13" ht="24" customHeight="1">
      <c r="A139" s="20" t="str">
        <f>C$131&amp;3</f>
        <v>63</v>
      </c>
      <c r="C139" s="149" t="e">
        <f>VLOOKUP($A139,trifin1,3,FALSE)</f>
        <v>#N/A</v>
      </c>
      <c r="D139" s="150" t="e">
        <f>VLOOKUP($A139,trifin1,9,FALSE)</f>
        <v>#N/A</v>
      </c>
      <c r="E139" s="151" t="e">
        <f>VLOOKUP($A139,trifin1,5,FALSE)</f>
        <v>#N/A</v>
      </c>
      <c r="F139" s="151" t="e">
        <f>VLOOKUP($A139,trifin1,6,FALSE)</f>
        <v>#N/A</v>
      </c>
      <c r="G139" s="426" t="e">
        <f>IF(F139="","",E139/F139)</f>
        <v>#N/A</v>
      </c>
      <c r="H139" s="426" t="e">
        <f>IF(E139=DISTANCE,G139,"-")</f>
        <v>#N/A</v>
      </c>
      <c r="I139" s="151" t="e">
        <f>VLOOKUP($A139,trifin1,7,FALSE)</f>
        <v>#N/A</v>
      </c>
      <c r="J139" s="469" t="e">
        <f>VLOOKUP($A139,trifin1,8,FALSE)</f>
        <v>#N/A</v>
      </c>
      <c r="K139" s="466"/>
      <c r="M139">
        <v>3</v>
      </c>
    </row>
    <row r="140" spans="1:13" ht="24" customHeight="1">
      <c r="A140" s="20" t="str">
        <f>C$131&amp;4</f>
        <v>64</v>
      </c>
      <c r="C140" s="149" t="e">
        <f>VLOOKUP($A140,trifin1,3,FALSE)</f>
        <v>#N/A</v>
      </c>
      <c r="D140" s="150" t="e">
        <f>VLOOKUP($A140,trifin1,9,FALSE)</f>
        <v>#N/A</v>
      </c>
      <c r="E140" s="151" t="e">
        <f>VLOOKUP($A140,trifin1,5,FALSE)</f>
        <v>#N/A</v>
      </c>
      <c r="F140" s="151" t="e">
        <f>VLOOKUP($A140,trifin1,6,FALSE)</f>
        <v>#N/A</v>
      </c>
      <c r="G140" s="426" t="e">
        <f>IF(F140="","",E140/F140)</f>
        <v>#N/A</v>
      </c>
      <c r="H140" s="426" t="e">
        <f>IF(E140=DISTANCE,G140,"-")</f>
        <v>#N/A</v>
      </c>
      <c r="I140" s="151" t="e">
        <f>VLOOKUP($A140,trifin1,7,FALSE)</f>
        <v>#N/A</v>
      </c>
      <c r="J140" s="469" t="e">
        <f>VLOOKUP($A140,trifin1,8,FALSE)</f>
        <v>#N/A</v>
      </c>
      <c r="K140" s="466"/>
      <c r="M140">
        <v>4</v>
      </c>
    </row>
    <row r="141" spans="1:13" ht="24" customHeight="1" thickBot="1">
      <c r="A141" s="20" t="str">
        <f>C$131&amp;5</f>
        <v>65</v>
      </c>
      <c r="C141" s="152" t="e">
        <f>VLOOKUP($A141,trifin1,3,FALSE)</f>
        <v>#N/A</v>
      </c>
      <c r="D141" s="153" t="e">
        <f>VLOOKUP($A141,trifin1,9,FALSE)</f>
        <v>#N/A</v>
      </c>
      <c r="E141" s="154" t="e">
        <f>VLOOKUP($A141,trifin1,5,FALSE)</f>
        <v>#N/A</v>
      </c>
      <c r="F141" s="154" t="e">
        <f>VLOOKUP($A141,trifin1,6,FALSE)</f>
        <v>#N/A</v>
      </c>
      <c r="G141" s="427" t="e">
        <f>IF(F141="","",E141/F141)</f>
        <v>#N/A</v>
      </c>
      <c r="H141" s="427" t="e">
        <f>IF(E141=DISTANCE,G141,"-")</f>
        <v>#N/A</v>
      </c>
      <c r="I141" s="154" t="e">
        <f>VLOOKUP($A141,trifin1,7,FALSE)</f>
        <v>#N/A</v>
      </c>
      <c r="J141" s="470" t="e">
        <f>VLOOKUP($A141,trifin1,8,FALSE)</f>
        <v>#N/A</v>
      </c>
      <c r="K141" s="466"/>
      <c r="M141">
        <v>5</v>
      </c>
    </row>
    <row r="142" spans="3:11" ht="24" customHeight="1" thickBot="1">
      <c r="C142" s="155"/>
      <c r="D142" s="156" t="s">
        <v>68</v>
      </c>
      <c r="E142" s="157" t="e">
        <f>SUM(E137:E141)</f>
        <v>#N/A</v>
      </c>
      <c r="F142" s="157" t="e">
        <f>SUM(F137:F141)</f>
        <v>#N/A</v>
      </c>
      <c r="G142" s="428" t="e">
        <f>IF(F142=0,"",E142/F142)</f>
        <v>#N/A</v>
      </c>
      <c r="H142" s="428" t="e">
        <f>MAX(H137:H141)</f>
        <v>#N/A</v>
      </c>
      <c r="I142" s="158" t="e">
        <f>MAX(I137:I141)</f>
        <v>#N/A</v>
      </c>
      <c r="J142" s="471" t="e">
        <f>SUM(J137:J141)</f>
        <v>#N/A</v>
      </c>
      <c r="K142" s="466"/>
    </row>
    <row r="144" spans="3:6" ht="15.75">
      <c r="C144" s="555" t="s">
        <v>69</v>
      </c>
      <c r="D144" s="555"/>
      <c r="E144" s="555"/>
      <c r="F144" s="86" t="str">
        <f>VLOOKUP($C133,clasfin2,9,FALSE)</f>
        <v>1er</v>
      </c>
    </row>
    <row r="146" spans="3:8" ht="23.25">
      <c r="C146" s="88">
        <f>titre</f>
        <v>0</v>
      </c>
      <c r="D146" s="88"/>
      <c r="E146" s="88"/>
      <c r="F146" s="88"/>
      <c r="H146" s="87">
        <f>dat</f>
        <v>0</v>
      </c>
    </row>
  </sheetData>
  <sheetProtection sheet="1" objects="1" scenarios="1"/>
  <mergeCells count="24">
    <mergeCell ref="B125:L125"/>
    <mergeCell ref="I132:J132"/>
    <mergeCell ref="I133:J133"/>
    <mergeCell ref="C144:E144"/>
    <mergeCell ref="B101:L101"/>
    <mergeCell ref="I108:J108"/>
    <mergeCell ref="I109:J109"/>
    <mergeCell ref="C120:E120"/>
    <mergeCell ref="B75:L75"/>
    <mergeCell ref="I82:J82"/>
    <mergeCell ref="I83:J83"/>
    <mergeCell ref="C94:E94"/>
    <mergeCell ref="B51:L51"/>
    <mergeCell ref="I58:J58"/>
    <mergeCell ref="I59:J59"/>
    <mergeCell ref="C70:E70"/>
    <mergeCell ref="B1:L1"/>
    <mergeCell ref="B25:L25"/>
    <mergeCell ref="I32:J32"/>
    <mergeCell ref="I33:J33"/>
    <mergeCell ref="C44:E44"/>
    <mergeCell ref="I8:J8"/>
    <mergeCell ref="I9:J9"/>
    <mergeCell ref="C20:E20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L78"/>
  <sheetViews>
    <sheetView showGridLines="0" zoomScale="75" zoomScaleNormal="75" zoomScalePageLayoutView="0" workbookViewId="0" topLeftCell="A1">
      <selection activeCell="B2" sqref="B2"/>
    </sheetView>
  </sheetViews>
  <sheetFormatPr defaultColWidth="11.5546875" defaultRowHeight="15"/>
  <cols>
    <col min="1" max="1" width="4.21484375" style="0" customWidth="1"/>
    <col min="2" max="2" width="7.10546875" style="0" customWidth="1"/>
    <col min="4" max="4" width="11.99609375" style="0" customWidth="1"/>
    <col min="12" max="12" width="7.10546875" style="0" customWidth="1"/>
  </cols>
  <sheetData>
    <row r="1" spans="2:12" ht="24" thickTop="1">
      <c r="B1" s="550" t="s">
        <v>77</v>
      </c>
      <c r="C1" s="551"/>
      <c r="D1" s="551"/>
      <c r="E1" s="551"/>
      <c r="F1" s="551"/>
      <c r="G1" s="551"/>
      <c r="H1" s="551"/>
      <c r="I1" s="551"/>
      <c r="J1" s="551"/>
      <c r="K1" s="551"/>
      <c r="L1" s="552"/>
    </row>
    <row r="2" spans="2:12" ht="15">
      <c r="B2" s="76"/>
      <c r="C2" s="20"/>
      <c r="D2" s="20"/>
      <c r="E2" s="20"/>
      <c r="F2" s="20"/>
      <c r="G2" s="20"/>
      <c r="H2" s="20"/>
      <c r="I2" s="20"/>
      <c r="J2" s="20"/>
      <c r="K2" s="20"/>
      <c r="L2" s="77"/>
    </row>
    <row r="3" spans="2:12" ht="16.5" thickBot="1">
      <c r="B3" s="78"/>
      <c r="C3" s="79" t="str">
        <f>design1</f>
        <v>REGIONALE 1</v>
      </c>
      <c r="D3" s="79"/>
      <c r="E3" s="80" t="str">
        <f>design2</f>
        <v>SOUS-DISTRICT</v>
      </c>
      <c r="F3" s="81"/>
      <c r="G3" s="82" t="s">
        <v>60</v>
      </c>
      <c r="H3" s="83" t="str">
        <f>bill</f>
        <v>2m80</v>
      </c>
      <c r="I3" s="82" t="s">
        <v>61</v>
      </c>
      <c r="J3" s="83">
        <f>DISTANCE</f>
        <v>0</v>
      </c>
      <c r="K3" s="79" t="s">
        <v>23</v>
      </c>
      <c r="L3" s="89"/>
    </row>
    <row r="4" spans="3:11" ht="27" customHeight="1" thickTop="1">
      <c r="C4" s="88">
        <f>titre</f>
        <v>0</v>
      </c>
      <c r="D4" s="88"/>
      <c r="E4" s="88"/>
      <c r="F4" s="88"/>
      <c r="H4" s="87">
        <f>dat</f>
        <v>0</v>
      </c>
      <c r="K4" s="201" t="str">
        <f>modjeu</f>
        <v>3 BANDES</v>
      </c>
    </row>
    <row r="5" ht="6.75" customHeight="1" thickBot="1"/>
    <row r="6" spans="1:12" ht="6.75" customHeight="1" thickTop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0" ht="15">
      <c r="A7" t="s">
        <v>28</v>
      </c>
      <c r="C7" s="85" t="s">
        <v>12</v>
      </c>
      <c r="E7" s="85" t="s">
        <v>1</v>
      </c>
      <c r="G7" s="41" t="s">
        <v>2</v>
      </c>
      <c r="I7" s="41" t="s">
        <v>63</v>
      </c>
      <c r="J7" s="41"/>
    </row>
    <row r="8" spans="1:10" ht="16.5" thickBot="1">
      <c r="A8" s="86" t="e">
        <f>VLOOKUP(C8,init6,6,FALSE)</f>
        <v>#N/A</v>
      </c>
      <c r="C8" s="87">
        <f>VLOOKUP(A7,classf,2,FALSE)</f>
        <v>0</v>
      </c>
      <c r="D8" s="87"/>
      <c r="E8" s="87" t="e">
        <f>VLOOKUP($A8,init1,3,FALSE)</f>
        <v>#N/A</v>
      </c>
      <c r="F8" s="87"/>
      <c r="G8" s="72" t="e">
        <f>VLOOKUP($A8,init1,4,FALSE)</f>
        <v>#N/A</v>
      </c>
      <c r="H8" s="87"/>
      <c r="I8" s="72" t="e">
        <f>VLOOKUP($A8,init1,5,FALSE)</f>
        <v>#N/A</v>
      </c>
      <c r="J8" s="72"/>
    </row>
    <row r="9" spans="3:12" ht="15.75" thickBot="1">
      <c r="C9" s="143" t="s">
        <v>64</v>
      </c>
      <c r="D9" s="144" t="s">
        <v>65</v>
      </c>
      <c r="E9" s="145" t="s">
        <v>5</v>
      </c>
      <c r="F9" s="145" t="s">
        <v>9</v>
      </c>
      <c r="G9" s="145" t="s">
        <v>10</v>
      </c>
      <c r="H9" s="145" t="s">
        <v>11</v>
      </c>
      <c r="I9" s="145" t="s">
        <v>6</v>
      </c>
      <c r="J9" s="467" t="s">
        <v>66</v>
      </c>
      <c r="K9" s="465"/>
      <c r="L9" s="20"/>
    </row>
    <row r="10" spans="1:12" ht="15">
      <c r="A10" s="20" t="e">
        <f>A8&amp;1</f>
        <v>#N/A</v>
      </c>
      <c r="C10" s="146" t="e">
        <f>VLOOKUP($A10,trifin1,3,FALSE)</f>
        <v>#N/A</v>
      </c>
      <c r="D10" s="147" t="e">
        <f>VLOOKUP($A10,trifin1,9,FALSE)</f>
        <v>#N/A</v>
      </c>
      <c r="E10" s="148" t="e">
        <f>VLOOKUP($A10,trifin1,5,FALSE)</f>
        <v>#N/A</v>
      </c>
      <c r="F10" s="148" t="e">
        <f>VLOOKUP($A10,trifin1,6,FALSE)</f>
        <v>#N/A</v>
      </c>
      <c r="G10" s="424" t="e">
        <f>IF(F10="","",E10/F10)</f>
        <v>#N/A</v>
      </c>
      <c r="H10" s="425" t="e">
        <f>IF(E10=DISTANCE,G10,"-")</f>
        <v>#N/A</v>
      </c>
      <c r="I10" s="148" t="e">
        <f>VLOOKUP($A10,trifin1,7,FALSE)</f>
        <v>#N/A</v>
      </c>
      <c r="J10" s="468" t="e">
        <f>VLOOKUP($A10,trifin1,8,FALSE)</f>
        <v>#N/A</v>
      </c>
      <c r="K10" s="465"/>
      <c r="L10" s="20"/>
    </row>
    <row r="11" spans="1:12" ht="15">
      <c r="A11" s="20" t="e">
        <f>A8&amp;2</f>
        <v>#N/A</v>
      </c>
      <c r="C11" s="149" t="e">
        <f>VLOOKUP($A11,trifin1,3,FALSE)</f>
        <v>#N/A</v>
      </c>
      <c r="D11" s="150" t="e">
        <f>VLOOKUP($A11,trifin1,9,FALSE)</f>
        <v>#N/A</v>
      </c>
      <c r="E11" s="151" t="e">
        <f>VLOOKUP($A11,trifin1,5,FALSE)</f>
        <v>#N/A</v>
      </c>
      <c r="F11" s="151" t="e">
        <f>VLOOKUP($A11,trifin1,6,FALSE)</f>
        <v>#N/A</v>
      </c>
      <c r="G11" s="426" t="e">
        <f>IF(F11="","",E11/F11)</f>
        <v>#N/A</v>
      </c>
      <c r="H11" s="426" t="e">
        <f>IF(E11=DISTANCE,G11,"-")</f>
        <v>#N/A</v>
      </c>
      <c r="I11" s="151" t="e">
        <f>VLOOKUP($A11,trifin1,7,FALSE)</f>
        <v>#N/A</v>
      </c>
      <c r="J11" s="469" t="e">
        <f>VLOOKUP($A11,trifin1,8,FALSE)</f>
        <v>#N/A</v>
      </c>
      <c r="K11" s="465"/>
      <c r="L11" s="20"/>
    </row>
    <row r="12" spans="1:12" ht="15">
      <c r="A12" s="20" t="e">
        <f>A8&amp;3</f>
        <v>#N/A</v>
      </c>
      <c r="C12" s="149" t="e">
        <f>VLOOKUP($A12,trifin1,3,FALSE)</f>
        <v>#N/A</v>
      </c>
      <c r="D12" s="150" t="e">
        <f>VLOOKUP($A12,trifin1,9,FALSE)</f>
        <v>#N/A</v>
      </c>
      <c r="E12" s="151" t="e">
        <f>VLOOKUP($A12,trifin1,5,FALSE)</f>
        <v>#N/A</v>
      </c>
      <c r="F12" s="151" t="e">
        <f>VLOOKUP($A12,trifin1,6,FALSE)</f>
        <v>#N/A</v>
      </c>
      <c r="G12" s="426" t="e">
        <f>IF(F12="","",E12/F12)</f>
        <v>#N/A</v>
      </c>
      <c r="H12" s="426" t="e">
        <f>IF(E12=DISTANCE,G12,"-")</f>
        <v>#N/A</v>
      </c>
      <c r="I12" s="151" t="e">
        <f>VLOOKUP($A12,trifin1,7,FALSE)</f>
        <v>#N/A</v>
      </c>
      <c r="J12" s="469" t="e">
        <f>VLOOKUP($A12,trifin1,8,FALSE)</f>
        <v>#N/A</v>
      </c>
      <c r="K12" s="466"/>
      <c r="L12" s="20"/>
    </row>
    <row r="13" spans="1:12" ht="15">
      <c r="A13" s="20" t="e">
        <f>A8&amp;4</f>
        <v>#N/A</v>
      </c>
      <c r="C13" s="149" t="e">
        <f>VLOOKUP($A13,trifin1,3,FALSE)</f>
        <v>#N/A</v>
      </c>
      <c r="D13" s="150" t="e">
        <f>VLOOKUP($A13,trifin1,9,FALSE)</f>
        <v>#N/A</v>
      </c>
      <c r="E13" s="151" t="e">
        <f>VLOOKUP($A13,trifin1,5,FALSE)</f>
        <v>#N/A</v>
      </c>
      <c r="F13" s="151" t="e">
        <f>VLOOKUP($A13,trifin1,6,FALSE)</f>
        <v>#N/A</v>
      </c>
      <c r="G13" s="426" t="e">
        <f>IF(F13="","",E13/F13)</f>
        <v>#N/A</v>
      </c>
      <c r="H13" s="426" t="e">
        <f>IF(E13=DISTANCE,G13,"-")</f>
        <v>#N/A</v>
      </c>
      <c r="I13" s="151" t="e">
        <f>VLOOKUP($A13,trifin1,7,FALSE)</f>
        <v>#N/A</v>
      </c>
      <c r="J13" s="469" t="e">
        <f>VLOOKUP($A13,trifin1,8,FALSE)</f>
        <v>#N/A</v>
      </c>
      <c r="K13" s="466"/>
      <c r="L13" s="20"/>
    </row>
    <row r="14" spans="1:12" ht="15.75" thickBot="1">
      <c r="A14" s="20" t="e">
        <f>A8&amp;5</f>
        <v>#N/A</v>
      </c>
      <c r="C14" s="152" t="e">
        <f>VLOOKUP($A14,trifin1,3,FALSE)</f>
        <v>#N/A</v>
      </c>
      <c r="D14" s="153" t="e">
        <f>VLOOKUP($A14,trifin1,9,FALSE)</f>
        <v>#N/A</v>
      </c>
      <c r="E14" s="154" t="e">
        <f>VLOOKUP($A14,trifin1,5,FALSE)</f>
        <v>#N/A</v>
      </c>
      <c r="F14" s="154" t="e">
        <f>VLOOKUP($A14,trifin1,6,FALSE)</f>
        <v>#N/A</v>
      </c>
      <c r="G14" s="427" t="e">
        <f>IF(F14="","",E14/F14)</f>
        <v>#N/A</v>
      </c>
      <c r="H14" s="427" t="e">
        <f>IF(E14=DISTANCE,G14,"-")</f>
        <v>#N/A</v>
      </c>
      <c r="I14" s="154" t="e">
        <f>VLOOKUP($A14,trifin1,7,FALSE)</f>
        <v>#N/A</v>
      </c>
      <c r="J14" s="470" t="e">
        <f>VLOOKUP($A14,trifin1,8,FALSE)</f>
        <v>#N/A</v>
      </c>
      <c r="K14" s="466"/>
      <c r="L14" s="20"/>
    </row>
    <row r="15" spans="3:12" ht="15.75" thickBot="1">
      <c r="C15" s="155"/>
      <c r="D15" s="156" t="s">
        <v>68</v>
      </c>
      <c r="E15" s="157" t="e">
        <f>SUM(E10:E14)</f>
        <v>#N/A</v>
      </c>
      <c r="F15" s="157" t="e">
        <f>SUM(F10:F14)</f>
        <v>#N/A</v>
      </c>
      <c r="G15" s="428" t="e">
        <f>IF(F15=0,"",E15/F15)</f>
        <v>#N/A</v>
      </c>
      <c r="H15" s="428" t="e">
        <f>MAX(H10:H14)</f>
        <v>#N/A</v>
      </c>
      <c r="I15" s="158" t="e">
        <f>MAX(I10:I14)</f>
        <v>#N/A</v>
      </c>
      <c r="J15" s="471" t="e">
        <f>SUM(J10:J14)</f>
        <v>#N/A</v>
      </c>
      <c r="K15" s="466"/>
      <c r="L15" s="20"/>
    </row>
    <row r="16" spans="3:12" ht="15.75">
      <c r="C16" s="556" t="s">
        <v>69</v>
      </c>
      <c r="D16" s="556"/>
      <c r="E16" s="556"/>
      <c r="F16" s="472" t="str">
        <f>VLOOKUP($C8,clasfin2,9,FALSE)</f>
        <v>1er</v>
      </c>
      <c r="G16" s="20"/>
      <c r="H16" s="20"/>
      <c r="I16" s="20"/>
      <c r="J16" s="20"/>
      <c r="K16" s="20"/>
      <c r="L16" s="20"/>
    </row>
    <row r="17" spans="3:12" ht="5.25" customHeight="1" thickBot="1"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5.25" customHeight="1" thickTop="1">
      <c r="A18" s="19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1" ht="15">
      <c r="A19" t="s">
        <v>29</v>
      </c>
      <c r="C19" s="85" t="s">
        <v>12</v>
      </c>
      <c r="E19" s="85" t="s">
        <v>1</v>
      </c>
      <c r="G19" s="41" t="s">
        <v>2</v>
      </c>
      <c r="I19" s="41" t="s">
        <v>63</v>
      </c>
      <c r="J19" s="41"/>
      <c r="K19" s="20"/>
    </row>
    <row r="20" spans="1:11" ht="16.5" thickBot="1">
      <c r="A20" s="86" t="e">
        <f>VLOOKUP(C20,init6,6,FALSE)</f>
        <v>#N/A</v>
      </c>
      <c r="C20" s="87">
        <f>VLOOKUP(A19,classf,2,FALSE)</f>
        <v>0</v>
      </c>
      <c r="D20" s="87"/>
      <c r="E20" s="87" t="e">
        <f>VLOOKUP($A20,init1,3,FALSE)</f>
        <v>#N/A</v>
      </c>
      <c r="F20" s="87"/>
      <c r="G20" s="72" t="e">
        <f>VLOOKUP($A20,init1,4,FALSE)</f>
        <v>#N/A</v>
      </c>
      <c r="H20" s="87"/>
      <c r="I20" s="72" t="e">
        <f>VLOOKUP($A20,init1,5,FALSE)</f>
        <v>#N/A</v>
      </c>
      <c r="J20" s="72"/>
      <c r="K20" s="20"/>
    </row>
    <row r="21" spans="3:12" ht="15.75" thickBot="1">
      <c r="C21" s="143" t="s">
        <v>64</v>
      </c>
      <c r="D21" s="144" t="s">
        <v>65</v>
      </c>
      <c r="E21" s="145" t="s">
        <v>5</v>
      </c>
      <c r="F21" s="145" t="s">
        <v>9</v>
      </c>
      <c r="G21" s="145" t="s">
        <v>10</v>
      </c>
      <c r="H21" s="145" t="s">
        <v>11</v>
      </c>
      <c r="I21" s="145" t="s">
        <v>6</v>
      </c>
      <c r="J21" s="467" t="s">
        <v>66</v>
      </c>
      <c r="K21" s="465"/>
      <c r="L21" s="20"/>
    </row>
    <row r="22" spans="1:12" ht="15">
      <c r="A22" s="20" t="e">
        <f>A20&amp;1</f>
        <v>#N/A</v>
      </c>
      <c r="C22" s="146" t="e">
        <f>VLOOKUP($A22,trifin1,3,FALSE)</f>
        <v>#N/A</v>
      </c>
      <c r="D22" s="147" t="e">
        <f>VLOOKUP($A22,trifin1,9,FALSE)</f>
        <v>#N/A</v>
      </c>
      <c r="E22" s="148" t="e">
        <f>VLOOKUP($A22,trifin1,5,FALSE)</f>
        <v>#N/A</v>
      </c>
      <c r="F22" s="148" t="e">
        <f>VLOOKUP($A22,trifin1,6,FALSE)</f>
        <v>#N/A</v>
      </c>
      <c r="G22" s="424" t="e">
        <f>IF(F22="","",E22/F22)</f>
        <v>#N/A</v>
      </c>
      <c r="H22" s="425" t="e">
        <f>IF(E22=DISTANCE,G22,"-")</f>
        <v>#N/A</v>
      </c>
      <c r="I22" s="148" t="e">
        <f>VLOOKUP($A22,trifin1,7,FALSE)</f>
        <v>#N/A</v>
      </c>
      <c r="J22" s="468" t="e">
        <f>VLOOKUP($A22,trifin1,8,FALSE)</f>
        <v>#N/A</v>
      </c>
      <c r="K22" s="465"/>
      <c r="L22" s="20"/>
    </row>
    <row r="23" spans="1:12" ht="15">
      <c r="A23" s="20" t="e">
        <f>A20&amp;2</f>
        <v>#N/A</v>
      </c>
      <c r="C23" s="149" t="e">
        <f>VLOOKUP($A23,trifin1,3,FALSE)</f>
        <v>#N/A</v>
      </c>
      <c r="D23" s="150" t="e">
        <f>VLOOKUP($A23,trifin1,9,FALSE)</f>
        <v>#N/A</v>
      </c>
      <c r="E23" s="151" t="e">
        <f>VLOOKUP($A23,trifin1,5,FALSE)</f>
        <v>#N/A</v>
      </c>
      <c r="F23" s="151" t="e">
        <f>VLOOKUP($A23,trifin1,6,FALSE)</f>
        <v>#N/A</v>
      </c>
      <c r="G23" s="426" t="e">
        <f>IF(F23="","",E23/F23)</f>
        <v>#N/A</v>
      </c>
      <c r="H23" s="426" t="e">
        <f>IF(E23=DISTANCE,G23,"-")</f>
        <v>#N/A</v>
      </c>
      <c r="I23" s="151" t="e">
        <f>VLOOKUP($A23,trifin1,7,FALSE)</f>
        <v>#N/A</v>
      </c>
      <c r="J23" s="469" t="e">
        <f>VLOOKUP($A23,trifin1,8,FALSE)</f>
        <v>#N/A</v>
      </c>
      <c r="K23" s="465"/>
      <c r="L23" s="20"/>
    </row>
    <row r="24" spans="1:12" ht="15">
      <c r="A24" s="20" t="e">
        <f>A20&amp;3</f>
        <v>#N/A</v>
      </c>
      <c r="C24" s="149" t="e">
        <f>VLOOKUP($A24,trifin1,3,FALSE)</f>
        <v>#N/A</v>
      </c>
      <c r="D24" s="150" t="e">
        <f>VLOOKUP($A24,trifin1,9,FALSE)</f>
        <v>#N/A</v>
      </c>
      <c r="E24" s="151" t="e">
        <f>VLOOKUP($A24,trifin1,5,FALSE)</f>
        <v>#N/A</v>
      </c>
      <c r="F24" s="151" t="e">
        <f>VLOOKUP($A24,trifin1,6,FALSE)</f>
        <v>#N/A</v>
      </c>
      <c r="G24" s="426" t="e">
        <f>IF(F24="","",E24/F24)</f>
        <v>#N/A</v>
      </c>
      <c r="H24" s="426" t="e">
        <f>IF(E24=DISTANCE,G24,"-")</f>
        <v>#N/A</v>
      </c>
      <c r="I24" s="151" t="e">
        <f>VLOOKUP($A24,trifin1,7,FALSE)</f>
        <v>#N/A</v>
      </c>
      <c r="J24" s="469" t="e">
        <f>VLOOKUP($A24,trifin1,8,FALSE)</f>
        <v>#N/A</v>
      </c>
      <c r="K24" s="466"/>
      <c r="L24" s="20"/>
    </row>
    <row r="25" spans="1:12" ht="15">
      <c r="A25" s="20" t="e">
        <f>A20&amp;4</f>
        <v>#N/A</v>
      </c>
      <c r="C25" s="149" t="e">
        <f>VLOOKUP($A25,trifin1,3,FALSE)</f>
        <v>#N/A</v>
      </c>
      <c r="D25" s="150" t="e">
        <f>VLOOKUP($A25,trifin1,9,FALSE)</f>
        <v>#N/A</v>
      </c>
      <c r="E25" s="151" t="e">
        <f>VLOOKUP($A25,trifin1,5,FALSE)</f>
        <v>#N/A</v>
      </c>
      <c r="F25" s="151" t="e">
        <f>VLOOKUP($A25,trifin1,6,FALSE)</f>
        <v>#N/A</v>
      </c>
      <c r="G25" s="426" t="e">
        <f>IF(F25="","",E25/F25)</f>
        <v>#N/A</v>
      </c>
      <c r="H25" s="426" t="e">
        <f>IF(E25=DISTANCE,G25,"-")</f>
        <v>#N/A</v>
      </c>
      <c r="I25" s="151" t="e">
        <f>VLOOKUP($A25,trifin1,7,FALSE)</f>
        <v>#N/A</v>
      </c>
      <c r="J25" s="469" t="e">
        <f>VLOOKUP($A25,trifin1,8,FALSE)</f>
        <v>#N/A</v>
      </c>
      <c r="K25" s="466"/>
      <c r="L25" s="20"/>
    </row>
    <row r="26" spans="1:12" ht="15.75" thickBot="1">
      <c r="A26" s="20" t="e">
        <f>A20&amp;5</f>
        <v>#N/A</v>
      </c>
      <c r="C26" s="152" t="e">
        <f>VLOOKUP($A26,trifin1,3,FALSE)</f>
        <v>#N/A</v>
      </c>
      <c r="D26" s="153" t="e">
        <f>VLOOKUP($A26,trifin1,9,FALSE)</f>
        <v>#N/A</v>
      </c>
      <c r="E26" s="154" t="e">
        <f>VLOOKUP($A26,trifin1,5,FALSE)</f>
        <v>#N/A</v>
      </c>
      <c r="F26" s="154" t="e">
        <f>VLOOKUP($A26,trifin1,6,FALSE)</f>
        <v>#N/A</v>
      </c>
      <c r="G26" s="427" t="e">
        <f>IF(F26="","",E26/F26)</f>
        <v>#N/A</v>
      </c>
      <c r="H26" s="427" t="e">
        <f>IF(E26=DISTANCE,G26,"-")</f>
        <v>#N/A</v>
      </c>
      <c r="I26" s="154" t="e">
        <f>VLOOKUP($A26,trifin1,7,FALSE)</f>
        <v>#N/A</v>
      </c>
      <c r="J26" s="470" t="e">
        <f>VLOOKUP($A26,trifin1,8,FALSE)</f>
        <v>#N/A</v>
      </c>
      <c r="K26" s="466"/>
      <c r="L26" s="20"/>
    </row>
    <row r="27" spans="3:12" ht="15.75" thickBot="1">
      <c r="C27" s="155"/>
      <c r="D27" s="156" t="s">
        <v>68</v>
      </c>
      <c r="E27" s="157" t="e">
        <f>SUM(E22:E26)</f>
        <v>#N/A</v>
      </c>
      <c r="F27" s="157" t="e">
        <f>SUM(F22:F26)</f>
        <v>#N/A</v>
      </c>
      <c r="G27" s="428" t="e">
        <f>IF(F27=0,"",E27/F27)</f>
        <v>#N/A</v>
      </c>
      <c r="H27" s="428" t="e">
        <f>MAX(H22:H26)</f>
        <v>#N/A</v>
      </c>
      <c r="I27" s="158" t="e">
        <f>MAX(I22:I26)</f>
        <v>#N/A</v>
      </c>
      <c r="J27" s="471" t="e">
        <f>SUM(J22:J26)</f>
        <v>#N/A</v>
      </c>
      <c r="K27" s="466"/>
      <c r="L27" s="20"/>
    </row>
    <row r="28" spans="3:12" ht="15.75">
      <c r="C28" s="556" t="s">
        <v>69</v>
      </c>
      <c r="D28" s="556"/>
      <c r="E28" s="556"/>
      <c r="F28" s="472" t="str">
        <f>VLOOKUP($C20,clasfin2,9,FALSE)</f>
        <v>1er</v>
      </c>
      <c r="G28" s="20"/>
      <c r="H28" s="20"/>
      <c r="I28" s="20"/>
      <c r="J28" s="20"/>
      <c r="K28" s="20"/>
      <c r="L28" s="20"/>
    </row>
    <row r="29" spans="3:12" ht="5.25" customHeight="1" thickBo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12" ht="5.25" customHeight="1" thickTop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19"/>
    </row>
    <row r="31" spans="1:11" ht="15">
      <c r="A31" t="s">
        <v>30</v>
      </c>
      <c r="C31" s="85" t="s">
        <v>12</v>
      </c>
      <c r="E31" s="85" t="s">
        <v>1</v>
      </c>
      <c r="G31" s="41" t="s">
        <v>2</v>
      </c>
      <c r="I31" s="41" t="s">
        <v>63</v>
      </c>
      <c r="J31" s="41"/>
      <c r="K31" s="20"/>
    </row>
    <row r="32" spans="1:11" ht="16.5" thickBot="1">
      <c r="A32" s="86" t="e">
        <f>VLOOKUP(C32,init6,6,FALSE)</f>
        <v>#N/A</v>
      </c>
      <c r="C32" s="87">
        <f>VLOOKUP(A31,classf,2,FALSE)</f>
        <v>0</v>
      </c>
      <c r="D32" s="87"/>
      <c r="E32" s="87" t="e">
        <f>VLOOKUP($A32,init1,3,FALSE)</f>
        <v>#N/A</v>
      </c>
      <c r="F32" s="87"/>
      <c r="G32" s="72" t="e">
        <f>VLOOKUP($A32,init1,4,FALSE)</f>
        <v>#N/A</v>
      </c>
      <c r="H32" s="87"/>
      <c r="I32" s="72" t="e">
        <f>VLOOKUP($A32,init1,5,FALSE)</f>
        <v>#N/A</v>
      </c>
      <c r="J32" s="72"/>
      <c r="K32" s="20"/>
    </row>
    <row r="33" spans="3:12" ht="15.75" thickBot="1">
      <c r="C33" s="143" t="s">
        <v>64</v>
      </c>
      <c r="D33" s="144" t="s">
        <v>65</v>
      </c>
      <c r="E33" s="145" t="s">
        <v>5</v>
      </c>
      <c r="F33" s="145" t="s">
        <v>9</v>
      </c>
      <c r="G33" s="145" t="s">
        <v>10</v>
      </c>
      <c r="H33" s="145" t="s">
        <v>11</v>
      </c>
      <c r="I33" s="145" t="s">
        <v>6</v>
      </c>
      <c r="J33" s="467" t="s">
        <v>66</v>
      </c>
      <c r="K33" s="465"/>
      <c r="L33" s="20"/>
    </row>
    <row r="34" spans="1:12" ht="15">
      <c r="A34" s="20" t="e">
        <f>A32&amp;1</f>
        <v>#N/A</v>
      </c>
      <c r="C34" s="146" t="e">
        <f>VLOOKUP($A34,trifin1,3,FALSE)</f>
        <v>#N/A</v>
      </c>
      <c r="D34" s="147" t="e">
        <f>VLOOKUP($A34,trifin1,9,FALSE)</f>
        <v>#N/A</v>
      </c>
      <c r="E34" s="148" t="e">
        <f>VLOOKUP($A34,trifin1,5,FALSE)</f>
        <v>#N/A</v>
      </c>
      <c r="F34" s="148" t="e">
        <f>VLOOKUP($A34,trifin1,6,FALSE)</f>
        <v>#N/A</v>
      </c>
      <c r="G34" s="424" t="e">
        <f>IF(F34="","",E34/F34)</f>
        <v>#N/A</v>
      </c>
      <c r="H34" s="425" t="e">
        <f>IF(E34=DISTANCE,G34,"-")</f>
        <v>#N/A</v>
      </c>
      <c r="I34" s="148" t="e">
        <f>VLOOKUP($A34,trifin1,7,FALSE)</f>
        <v>#N/A</v>
      </c>
      <c r="J34" s="468" t="e">
        <f>VLOOKUP($A34,trifin1,8,FALSE)</f>
        <v>#N/A</v>
      </c>
      <c r="K34" s="465"/>
      <c r="L34" s="20"/>
    </row>
    <row r="35" spans="1:12" ht="15">
      <c r="A35" s="20" t="e">
        <f>A32&amp;2</f>
        <v>#N/A</v>
      </c>
      <c r="C35" s="149" t="e">
        <f>VLOOKUP($A35,trifin1,3,FALSE)</f>
        <v>#N/A</v>
      </c>
      <c r="D35" s="150" t="e">
        <f>VLOOKUP($A35,trifin1,9,FALSE)</f>
        <v>#N/A</v>
      </c>
      <c r="E35" s="151" t="e">
        <f>VLOOKUP($A35,trifin1,5,FALSE)</f>
        <v>#N/A</v>
      </c>
      <c r="F35" s="151" t="e">
        <f>VLOOKUP($A35,trifin1,6,FALSE)</f>
        <v>#N/A</v>
      </c>
      <c r="G35" s="426" t="e">
        <f>IF(F35="","",E35/F35)</f>
        <v>#N/A</v>
      </c>
      <c r="H35" s="426" t="e">
        <f>IF(E35=DISTANCE,G35,"-")</f>
        <v>#N/A</v>
      </c>
      <c r="I35" s="151" t="e">
        <f>VLOOKUP($A35,trifin1,7,FALSE)</f>
        <v>#N/A</v>
      </c>
      <c r="J35" s="469" t="e">
        <f>VLOOKUP($A35,trifin1,8,FALSE)</f>
        <v>#N/A</v>
      </c>
      <c r="K35" s="465"/>
      <c r="L35" s="20"/>
    </row>
    <row r="36" spans="1:12" ht="15">
      <c r="A36" s="20" t="e">
        <f>A32&amp;3</f>
        <v>#N/A</v>
      </c>
      <c r="C36" s="149" t="e">
        <f>VLOOKUP($A36,trifin1,3,FALSE)</f>
        <v>#N/A</v>
      </c>
      <c r="D36" s="150" t="e">
        <f>VLOOKUP($A36,trifin1,9,FALSE)</f>
        <v>#N/A</v>
      </c>
      <c r="E36" s="151" t="e">
        <f>VLOOKUP($A36,trifin1,5,FALSE)</f>
        <v>#N/A</v>
      </c>
      <c r="F36" s="151" t="e">
        <f>VLOOKUP($A36,trifin1,6,FALSE)</f>
        <v>#N/A</v>
      </c>
      <c r="G36" s="426" t="e">
        <f>IF(F36="","",E36/F36)</f>
        <v>#N/A</v>
      </c>
      <c r="H36" s="426" t="e">
        <f>IF(E36=DISTANCE,G36,"-")</f>
        <v>#N/A</v>
      </c>
      <c r="I36" s="151" t="e">
        <f>VLOOKUP($A36,trifin1,7,FALSE)</f>
        <v>#N/A</v>
      </c>
      <c r="J36" s="469" t="e">
        <f>VLOOKUP($A36,trifin1,8,FALSE)</f>
        <v>#N/A</v>
      </c>
      <c r="K36" s="466"/>
      <c r="L36" s="20"/>
    </row>
    <row r="37" spans="1:12" ht="15">
      <c r="A37" s="20" t="e">
        <f>A32&amp;4</f>
        <v>#N/A</v>
      </c>
      <c r="C37" s="149" t="e">
        <f>VLOOKUP($A37,trifin1,3,FALSE)</f>
        <v>#N/A</v>
      </c>
      <c r="D37" s="150" t="e">
        <f>VLOOKUP($A37,trifin1,9,FALSE)</f>
        <v>#N/A</v>
      </c>
      <c r="E37" s="151" t="e">
        <f>VLOOKUP($A37,trifin1,5,FALSE)</f>
        <v>#N/A</v>
      </c>
      <c r="F37" s="151" t="e">
        <f>VLOOKUP($A37,trifin1,6,FALSE)</f>
        <v>#N/A</v>
      </c>
      <c r="G37" s="426" t="e">
        <f>IF(F37="","",E37/F37)</f>
        <v>#N/A</v>
      </c>
      <c r="H37" s="426" t="e">
        <f>IF(E37=DISTANCE,G37,"-")</f>
        <v>#N/A</v>
      </c>
      <c r="I37" s="151" t="e">
        <f>VLOOKUP($A37,trifin1,7,FALSE)</f>
        <v>#N/A</v>
      </c>
      <c r="J37" s="469" t="e">
        <f>VLOOKUP($A37,trifin1,8,FALSE)</f>
        <v>#N/A</v>
      </c>
      <c r="K37" s="466"/>
      <c r="L37" s="20"/>
    </row>
    <row r="38" spans="1:12" ht="15.75" thickBot="1">
      <c r="A38" s="20" t="e">
        <f>A32&amp;5</f>
        <v>#N/A</v>
      </c>
      <c r="C38" s="152" t="e">
        <f>VLOOKUP($A38,trifin1,3,FALSE)</f>
        <v>#N/A</v>
      </c>
      <c r="D38" s="153" t="e">
        <f>VLOOKUP($A38,trifin1,9,FALSE)</f>
        <v>#N/A</v>
      </c>
      <c r="E38" s="154" t="e">
        <f>VLOOKUP($A38,trifin1,5,FALSE)</f>
        <v>#N/A</v>
      </c>
      <c r="F38" s="154" t="e">
        <f>VLOOKUP($A38,trifin1,6,FALSE)</f>
        <v>#N/A</v>
      </c>
      <c r="G38" s="427" t="e">
        <f>IF(F38="","",E38/F38)</f>
        <v>#N/A</v>
      </c>
      <c r="H38" s="427" t="e">
        <f>IF(E38=DISTANCE,G38,"-")</f>
        <v>#N/A</v>
      </c>
      <c r="I38" s="154" t="e">
        <f>VLOOKUP($A38,trifin1,7,FALSE)</f>
        <v>#N/A</v>
      </c>
      <c r="J38" s="470" t="e">
        <f>VLOOKUP($A38,trifin1,8,FALSE)</f>
        <v>#N/A</v>
      </c>
      <c r="K38" s="466"/>
      <c r="L38" s="20"/>
    </row>
    <row r="39" spans="3:12" ht="15.75" thickBot="1">
      <c r="C39" s="155"/>
      <c r="D39" s="156" t="s">
        <v>68</v>
      </c>
      <c r="E39" s="157" t="e">
        <f>SUM(E34:E38)</f>
        <v>#N/A</v>
      </c>
      <c r="F39" s="157" t="e">
        <f>SUM(F34:F38)</f>
        <v>#N/A</v>
      </c>
      <c r="G39" s="428" t="e">
        <f>IF(F39=0,"",E39/F39)</f>
        <v>#N/A</v>
      </c>
      <c r="H39" s="428" t="e">
        <f>MAX(H34:H38)</f>
        <v>#N/A</v>
      </c>
      <c r="I39" s="158" t="e">
        <f>MAX(I34:I38)</f>
        <v>#N/A</v>
      </c>
      <c r="J39" s="471" t="e">
        <f>SUM(J34:J38)</f>
        <v>#N/A</v>
      </c>
      <c r="K39" s="466"/>
      <c r="L39" s="20"/>
    </row>
    <row r="40" spans="3:12" ht="15.75">
      <c r="C40" s="556" t="s">
        <v>69</v>
      </c>
      <c r="D40" s="556"/>
      <c r="E40" s="556"/>
      <c r="F40" s="472" t="str">
        <f>VLOOKUP($C32,clasfin2,9,FALSE)</f>
        <v>1er</v>
      </c>
      <c r="G40" s="20"/>
      <c r="H40" s="20"/>
      <c r="I40" s="20"/>
      <c r="J40" s="20"/>
      <c r="K40" s="20"/>
      <c r="L40" s="20"/>
    </row>
    <row r="41" spans="3:12" ht="5.25" customHeight="1" thickBot="1"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1:12" ht="5.25" customHeight="1" thickTop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19"/>
    </row>
    <row r="43" spans="1:11" ht="15">
      <c r="A43" t="s">
        <v>31</v>
      </c>
      <c r="C43" s="85" t="s">
        <v>12</v>
      </c>
      <c r="E43" s="85" t="s">
        <v>1</v>
      </c>
      <c r="G43" s="41" t="s">
        <v>2</v>
      </c>
      <c r="I43" s="41" t="s">
        <v>63</v>
      </c>
      <c r="J43" s="41"/>
      <c r="K43" s="20"/>
    </row>
    <row r="44" spans="1:11" ht="16.5" thickBot="1">
      <c r="A44" s="86" t="e">
        <f>VLOOKUP(C44,init6,6,FALSE)</f>
        <v>#N/A</v>
      </c>
      <c r="C44" s="87">
        <f>VLOOKUP(A43,classf,2,FALSE)</f>
        <v>0</v>
      </c>
      <c r="D44" s="87"/>
      <c r="E44" s="87" t="e">
        <f>VLOOKUP($A44,init1,3,FALSE)</f>
        <v>#N/A</v>
      </c>
      <c r="F44" s="87"/>
      <c r="G44" s="72" t="e">
        <f>VLOOKUP($A44,init1,4,FALSE)</f>
        <v>#N/A</v>
      </c>
      <c r="H44" s="87"/>
      <c r="I44" s="72" t="e">
        <f>VLOOKUP($A44,init1,5,FALSE)</f>
        <v>#N/A</v>
      </c>
      <c r="J44" s="72"/>
      <c r="K44" s="20"/>
    </row>
    <row r="45" spans="3:12" ht="15.75" thickBot="1">
      <c r="C45" s="143" t="s">
        <v>64</v>
      </c>
      <c r="D45" s="144" t="s">
        <v>65</v>
      </c>
      <c r="E45" s="145" t="s">
        <v>5</v>
      </c>
      <c r="F45" s="145" t="s">
        <v>9</v>
      </c>
      <c r="G45" s="145" t="s">
        <v>10</v>
      </c>
      <c r="H45" s="145" t="s">
        <v>11</v>
      </c>
      <c r="I45" s="145" t="s">
        <v>6</v>
      </c>
      <c r="J45" s="467" t="s">
        <v>66</v>
      </c>
      <c r="K45" s="465"/>
      <c r="L45" s="20"/>
    </row>
    <row r="46" spans="1:12" ht="15">
      <c r="A46" s="20" t="e">
        <f>A44&amp;1</f>
        <v>#N/A</v>
      </c>
      <c r="C46" s="146" t="e">
        <f>VLOOKUP($A46,trifin1,3,FALSE)</f>
        <v>#N/A</v>
      </c>
      <c r="D46" s="147" t="e">
        <f>VLOOKUP($A46,trifin1,9,FALSE)</f>
        <v>#N/A</v>
      </c>
      <c r="E46" s="148" t="e">
        <f>VLOOKUP($A46,trifin1,5,FALSE)</f>
        <v>#N/A</v>
      </c>
      <c r="F46" s="148" t="e">
        <f>VLOOKUP($A46,trifin1,6,FALSE)</f>
        <v>#N/A</v>
      </c>
      <c r="G46" s="424" t="e">
        <f>IF(F46="","",E46/F46)</f>
        <v>#N/A</v>
      </c>
      <c r="H46" s="425" t="e">
        <f>IF(E46=DISTANCE,G46,"-")</f>
        <v>#N/A</v>
      </c>
      <c r="I46" s="148" t="e">
        <f>VLOOKUP($A46,trifin1,7,FALSE)</f>
        <v>#N/A</v>
      </c>
      <c r="J46" s="468" t="e">
        <f>VLOOKUP($A46,trifin1,8,FALSE)</f>
        <v>#N/A</v>
      </c>
      <c r="K46" s="465"/>
      <c r="L46" s="20"/>
    </row>
    <row r="47" spans="1:12" ht="15">
      <c r="A47" s="20" t="e">
        <f>A44&amp;2</f>
        <v>#N/A</v>
      </c>
      <c r="C47" s="149" t="e">
        <f>VLOOKUP($A47,trifin1,3,FALSE)</f>
        <v>#N/A</v>
      </c>
      <c r="D47" s="150" t="e">
        <f>VLOOKUP($A47,trifin1,9,FALSE)</f>
        <v>#N/A</v>
      </c>
      <c r="E47" s="151" t="e">
        <f>VLOOKUP($A47,trifin1,5,FALSE)</f>
        <v>#N/A</v>
      </c>
      <c r="F47" s="151" t="e">
        <f>VLOOKUP($A47,trifin1,6,FALSE)</f>
        <v>#N/A</v>
      </c>
      <c r="G47" s="426" t="e">
        <f>IF(F47="","",E47/F47)</f>
        <v>#N/A</v>
      </c>
      <c r="H47" s="426" t="e">
        <f>IF(E47=DISTANCE,G47,"-")</f>
        <v>#N/A</v>
      </c>
      <c r="I47" s="151" t="e">
        <f>VLOOKUP($A47,trifin1,7,FALSE)</f>
        <v>#N/A</v>
      </c>
      <c r="J47" s="469" t="e">
        <f>VLOOKUP($A47,trifin1,8,FALSE)</f>
        <v>#N/A</v>
      </c>
      <c r="K47" s="465"/>
      <c r="L47" s="20"/>
    </row>
    <row r="48" spans="1:12" ht="15">
      <c r="A48" s="20" t="e">
        <f>A44&amp;3</f>
        <v>#N/A</v>
      </c>
      <c r="C48" s="149" t="e">
        <f>VLOOKUP($A48,trifin1,3,FALSE)</f>
        <v>#N/A</v>
      </c>
      <c r="D48" s="150" t="e">
        <f>VLOOKUP($A48,trifin1,9,FALSE)</f>
        <v>#N/A</v>
      </c>
      <c r="E48" s="151" t="e">
        <f>VLOOKUP($A48,trifin1,5,FALSE)</f>
        <v>#N/A</v>
      </c>
      <c r="F48" s="151" t="e">
        <f>VLOOKUP($A48,trifin1,6,FALSE)</f>
        <v>#N/A</v>
      </c>
      <c r="G48" s="426" t="e">
        <f>IF(F48="","",E48/F48)</f>
        <v>#N/A</v>
      </c>
      <c r="H48" s="426" t="e">
        <f>IF(E48=DISTANCE,G48,"-")</f>
        <v>#N/A</v>
      </c>
      <c r="I48" s="151" t="e">
        <f>VLOOKUP($A48,trifin1,7,FALSE)</f>
        <v>#N/A</v>
      </c>
      <c r="J48" s="469" t="e">
        <f>VLOOKUP($A48,trifin1,8,FALSE)</f>
        <v>#N/A</v>
      </c>
      <c r="K48" s="466"/>
      <c r="L48" s="20"/>
    </row>
    <row r="49" spans="1:12" ht="15">
      <c r="A49" s="20" t="e">
        <f>A44&amp;4</f>
        <v>#N/A</v>
      </c>
      <c r="C49" s="149" t="e">
        <f>VLOOKUP($A49,trifin1,3,FALSE)</f>
        <v>#N/A</v>
      </c>
      <c r="D49" s="150" t="e">
        <f>VLOOKUP($A49,trifin1,9,FALSE)</f>
        <v>#N/A</v>
      </c>
      <c r="E49" s="151" t="e">
        <f>VLOOKUP($A49,trifin1,5,FALSE)</f>
        <v>#N/A</v>
      </c>
      <c r="F49" s="151" t="e">
        <f>VLOOKUP($A49,trifin1,6,FALSE)</f>
        <v>#N/A</v>
      </c>
      <c r="G49" s="426" t="e">
        <f>IF(F49="","",E49/F49)</f>
        <v>#N/A</v>
      </c>
      <c r="H49" s="426" t="e">
        <f>IF(E49=DISTANCE,G49,"-")</f>
        <v>#N/A</v>
      </c>
      <c r="I49" s="151" t="e">
        <f>VLOOKUP($A49,trifin1,7,FALSE)</f>
        <v>#N/A</v>
      </c>
      <c r="J49" s="469" t="e">
        <f>VLOOKUP($A49,trifin1,8,FALSE)</f>
        <v>#N/A</v>
      </c>
      <c r="K49" s="466"/>
      <c r="L49" s="20"/>
    </row>
    <row r="50" spans="1:12" ht="15.75" thickBot="1">
      <c r="A50" s="20" t="e">
        <f>A44&amp;5</f>
        <v>#N/A</v>
      </c>
      <c r="C50" s="152" t="e">
        <f>VLOOKUP($A50,trifin1,3,FALSE)</f>
        <v>#N/A</v>
      </c>
      <c r="D50" s="153" t="e">
        <f>VLOOKUP($A50,trifin1,9,FALSE)</f>
        <v>#N/A</v>
      </c>
      <c r="E50" s="154" t="e">
        <f>VLOOKUP($A50,trifin1,5,FALSE)</f>
        <v>#N/A</v>
      </c>
      <c r="F50" s="154" t="e">
        <f>VLOOKUP($A50,trifin1,6,FALSE)</f>
        <v>#N/A</v>
      </c>
      <c r="G50" s="427" t="e">
        <f>IF(F50="","",E50/F50)</f>
        <v>#N/A</v>
      </c>
      <c r="H50" s="427" t="e">
        <f>IF(E50=DISTANCE,G50,"-")</f>
        <v>#N/A</v>
      </c>
      <c r="I50" s="154" t="e">
        <f>VLOOKUP($A50,trifin1,7,FALSE)</f>
        <v>#N/A</v>
      </c>
      <c r="J50" s="470" t="e">
        <f>VLOOKUP($A50,trifin1,8,FALSE)</f>
        <v>#N/A</v>
      </c>
      <c r="K50" s="466"/>
      <c r="L50" s="20"/>
    </row>
    <row r="51" spans="3:12" ht="15.75" thickBot="1">
      <c r="C51" s="155"/>
      <c r="D51" s="156" t="s">
        <v>68</v>
      </c>
      <c r="E51" s="157" t="e">
        <f>SUM(E46:E50)</f>
        <v>#N/A</v>
      </c>
      <c r="F51" s="157" t="e">
        <f>SUM(F46:F50)</f>
        <v>#N/A</v>
      </c>
      <c r="G51" s="428" t="e">
        <f>IF(F51=0,"",E51/F51)</f>
        <v>#N/A</v>
      </c>
      <c r="H51" s="428" t="e">
        <f>MAX(H46:H50)</f>
        <v>#N/A</v>
      </c>
      <c r="I51" s="158" t="e">
        <f>MAX(I46:I50)</f>
        <v>#N/A</v>
      </c>
      <c r="J51" s="471" t="e">
        <f>SUM(J46:J50)</f>
        <v>#N/A</v>
      </c>
      <c r="K51" s="466"/>
      <c r="L51" s="20"/>
    </row>
    <row r="52" spans="3:12" ht="15.75">
      <c r="C52" s="556" t="s">
        <v>69</v>
      </c>
      <c r="D52" s="556"/>
      <c r="E52" s="556"/>
      <c r="F52" s="472" t="str">
        <f>VLOOKUP($C44,clasfin2,9,FALSE)</f>
        <v>1er</v>
      </c>
      <c r="G52" s="20"/>
      <c r="H52" s="20"/>
      <c r="I52" s="20"/>
      <c r="J52" s="20"/>
      <c r="K52" s="20"/>
      <c r="L52" s="20"/>
    </row>
    <row r="53" spans="3:12" ht="5.25" customHeight="1" thickBot="1"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1:12" ht="5.25" customHeight="1" thickTop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19"/>
    </row>
    <row r="55" spans="1:11" ht="15">
      <c r="A55" t="s">
        <v>33</v>
      </c>
      <c r="C55" s="85" t="s">
        <v>12</v>
      </c>
      <c r="E55" s="85" t="s">
        <v>1</v>
      </c>
      <c r="G55" s="41" t="s">
        <v>2</v>
      </c>
      <c r="I55" s="41" t="s">
        <v>63</v>
      </c>
      <c r="J55" s="41"/>
      <c r="K55" s="20"/>
    </row>
    <row r="56" spans="1:11" ht="16.5" thickBot="1">
      <c r="A56" s="86" t="e">
        <f>VLOOKUP(C56,init6,6,FALSE)</f>
        <v>#N/A</v>
      </c>
      <c r="C56" s="87">
        <f>VLOOKUP(A55,classf,2,FALSE)</f>
        <v>0</v>
      </c>
      <c r="D56" s="87"/>
      <c r="E56" s="87" t="e">
        <f>VLOOKUP($A56,init1,3,FALSE)</f>
        <v>#N/A</v>
      </c>
      <c r="F56" s="87"/>
      <c r="G56" s="72" t="e">
        <f>VLOOKUP($A56,init1,4,FALSE)</f>
        <v>#N/A</v>
      </c>
      <c r="H56" s="87"/>
      <c r="I56" s="72" t="e">
        <f>VLOOKUP($A56,init1,5,FALSE)</f>
        <v>#N/A</v>
      </c>
      <c r="J56" s="72"/>
      <c r="K56" s="20"/>
    </row>
    <row r="57" spans="3:12" ht="15.75" thickBot="1">
      <c r="C57" s="143" t="s">
        <v>64</v>
      </c>
      <c r="D57" s="144" t="s">
        <v>65</v>
      </c>
      <c r="E57" s="145" t="s">
        <v>5</v>
      </c>
      <c r="F57" s="145" t="s">
        <v>9</v>
      </c>
      <c r="G57" s="145" t="s">
        <v>10</v>
      </c>
      <c r="H57" s="145" t="s">
        <v>11</v>
      </c>
      <c r="I57" s="145" t="s">
        <v>6</v>
      </c>
      <c r="J57" s="467" t="s">
        <v>66</v>
      </c>
      <c r="K57" s="465"/>
      <c r="L57" s="20"/>
    </row>
    <row r="58" spans="1:12" ht="15">
      <c r="A58" s="20" t="e">
        <f>A56&amp;1</f>
        <v>#N/A</v>
      </c>
      <c r="C58" s="146" t="e">
        <f>VLOOKUP($A58,trifin1,3,FALSE)</f>
        <v>#N/A</v>
      </c>
      <c r="D58" s="147" t="e">
        <f>VLOOKUP($A58,trifin1,9,FALSE)</f>
        <v>#N/A</v>
      </c>
      <c r="E58" s="148" t="e">
        <f>VLOOKUP($A58,trifin1,5,FALSE)</f>
        <v>#N/A</v>
      </c>
      <c r="F58" s="148" t="e">
        <f>VLOOKUP($A58,trifin1,6,FALSE)</f>
        <v>#N/A</v>
      </c>
      <c r="G58" s="424" t="e">
        <f>IF(F58="","",E58/F58)</f>
        <v>#N/A</v>
      </c>
      <c r="H58" s="425" t="e">
        <f>IF(E58=DISTANCE,G58,"-")</f>
        <v>#N/A</v>
      </c>
      <c r="I58" s="148" t="e">
        <f>VLOOKUP($A58,trifin1,7,FALSE)</f>
        <v>#N/A</v>
      </c>
      <c r="J58" s="468" t="e">
        <f>VLOOKUP($A58,trifin1,8,FALSE)</f>
        <v>#N/A</v>
      </c>
      <c r="K58" s="465"/>
      <c r="L58" s="20"/>
    </row>
    <row r="59" spans="1:12" ht="15">
      <c r="A59" s="20" t="e">
        <f>A56&amp;2</f>
        <v>#N/A</v>
      </c>
      <c r="C59" s="149" t="e">
        <f>VLOOKUP($A59,trifin1,3,FALSE)</f>
        <v>#N/A</v>
      </c>
      <c r="D59" s="150" t="e">
        <f>VLOOKUP($A59,trifin1,9,FALSE)</f>
        <v>#N/A</v>
      </c>
      <c r="E59" s="151" t="e">
        <f>VLOOKUP($A59,trifin1,5,FALSE)</f>
        <v>#N/A</v>
      </c>
      <c r="F59" s="151" t="e">
        <f>VLOOKUP($A59,trifin1,6,FALSE)</f>
        <v>#N/A</v>
      </c>
      <c r="G59" s="426" t="e">
        <f>IF(F59="","",E59/F59)</f>
        <v>#N/A</v>
      </c>
      <c r="H59" s="426" t="e">
        <f>IF(E59=DISTANCE,G59,"-")</f>
        <v>#N/A</v>
      </c>
      <c r="I59" s="151" t="e">
        <f>VLOOKUP($A59,trifin1,7,FALSE)</f>
        <v>#N/A</v>
      </c>
      <c r="J59" s="469" t="e">
        <f>VLOOKUP($A59,trifin1,8,FALSE)</f>
        <v>#N/A</v>
      </c>
      <c r="K59" s="465"/>
      <c r="L59" s="20"/>
    </row>
    <row r="60" spans="1:12" ht="15">
      <c r="A60" s="20" t="e">
        <f>A56&amp;3</f>
        <v>#N/A</v>
      </c>
      <c r="C60" s="149" t="e">
        <f>VLOOKUP($A60,trifin1,3,FALSE)</f>
        <v>#N/A</v>
      </c>
      <c r="D60" s="150" t="e">
        <f>VLOOKUP($A60,trifin1,9,FALSE)</f>
        <v>#N/A</v>
      </c>
      <c r="E60" s="151" t="e">
        <f>VLOOKUP($A60,trifin1,5,FALSE)</f>
        <v>#N/A</v>
      </c>
      <c r="F60" s="151" t="e">
        <f>VLOOKUP($A60,trifin1,6,FALSE)</f>
        <v>#N/A</v>
      </c>
      <c r="G60" s="426" t="e">
        <f>IF(F60="","",E60/F60)</f>
        <v>#N/A</v>
      </c>
      <c r="H60" s="426" t="e">
        <f>IF(E60=DISTANCE,G60,"-")</f>
        <v>#N/A</v>
      </c>
      <c r="I60" s="151" t="e">
        <f>VLOOKUP($A60,trifin1,7,FALSE)</f>
        <v>#N/A</v>
      </c>
      <c r="J60" s="469" t="e">
        <f>VLOOKUP($A60,trifin1,8,FALSE)</f>
        <v>#N/A</v>
      </c>
      <c r="K60" s="466"/>
      <c r="L60" s="20"/>
    </row>
    <row r="61" spans="1:12" ht="15">
      <c r="A61" s="20" t="e">
        <f>A56&amp;4</f>
        <v>#N/A</v>
      </c>
      <c r="C61" s="149" t="e">
        <f>VLOOKUP($A61,trifin1,3,FALSE)</f>
        <v>#N/A</v>
      </c>
      <c r="D61" s="150" t="e">
        <f>VLOOKUP($A61,trifin1,9,FALSE)</f>
        <v>#N/A</v>
      </c>
      <c r="E61" s="151" t="e">
        <f>VLOOKUP($A61,trifin1,5,FALSE)</f>
        <v>#N/A</v>
      </c>
      <c r="F61" s="151" t="e">
        <f>VLOOKUP($A61,trifin1,6,FALSE)</f>
        <v>#N/A</v>
      </c>
      <c r="G61" s="426" t="e">
        <f>IF(F61="","",E61/F61)</f>
        <v>#N/A</v>
      </c>
      <c r="H61" s="426" t="e">
        <f>IF(E61=DISTANCE,G61,"-")</f>
        <v>#N/A</v>
      </c>
      <c r="I61" s="151" t="e">
        <f>VLOOKUP($A61,trifin1,7,FALSE)</f>
        <v>#N/A</v>
      </c>
      <c r="J61" s="469" t="e">
        <f>VLOOKUP($A61,trifin1,8,FALSE)</f>
        <v>#N/A</v>
      </c>
      <c r="K61" s="466"/>
      <c r="L61" s="20"/>
    </row>
    <row r="62" spans="1:12" ht="15.75" thickBot="1">
      <c r="A62" s="20" t="e">
        <f>A56&amp;5</f>
        <v>#N/A</v>
      </c>
      <c r="C62" s="152" t="e">
        <f>VLOOKUP($A62,trifin1,3,FALSE)</f>
        <v>#N/A</v>
      </c>
      <c r="D62" s="153" t="e">
        <f>VLOOKUP($A62,trifin1,9,FALSE)</f>
        <v>#N/A</v>
      </c>
      <c r="E62" s="154" t="e">
        <f>VLOOKUP($A62,trifin1,5,FALSE)</f>
        <v>#N/A</v>
      </c>
      <c r="F62" s="154" t="e">
        <f>VLOOKUP($A62,trifin1,6,FALSE)</f>
        <v>#N/A</v>
      </c>
      <c r="G62" s="427" t="e">
        <f>IF(F62="","",E62/F62)</f>
        <v>#N/A</v>
      </c>
      <c r="H62" s="427" t="e">
        <f>IF(E62=DISTANCE,G62,"-")</f>
        <v>#N/A</v>
      </c>
      <c r="I62" s="154" t="e">
        <f>VLOOKUP($A62,trifin1,7,FALSE)</f>
        <v>#N/A</v>
      </c>
      <c r="J62" s="470" t="e">
        <f>VLOOKUP($A62,trifin1,8,FALSE)</f>
        <v>#N/A</v>
      </c>
      <c r="K62" s="466"/>
      <c r="L62" s="20"/>
    </row>
    <row r="63" spans="3:12" ht="15.75" thickBot="1">
      <c r="C63" s="155"/>
      <c r="D63" s="156" t="s">
        <v>68</v>
      </c>
      <c r="E63" s="157" t="e">
        <f>SUM(E58:E62)</f>
        <v>#N/A</v>
      </c>
      <c r="F63" s="157" t="e">
        <f>SUM(F58:F62)</f>
        <v>#N/A</v>
      </c>
      <c r="G63" s="428" t="e">
        <f>IF(F63=0,"",E63/F63)</f>
        <v>#N/A</v>
      </c>
      <c r="H63" s="428" t="e">
        <f>MAX(H58:H62)</f>
        <v>#N/A</v>
      </c>
      <c r="I63" s="158" t="e">
        <f>MAX(I58:I62)</f>
        <v>#N/A</v>
      </c>
      <c r="J63" s="471" t="e">
        <f>SUM(J58:J62)</f>
        <v>#N/A</v>
      </c>
      <c r="K63" s="466"/>
      <c r="L63" s="20"/>
    </row>
    <row r="64" spans="3:12" ht="15.75">
      <c r="C64" s="556" t="s">
        <v>69</v>
      </c>
      <c r="D64" s="556"/>
      <c r="E64" s="556"/>
      <c r="F64" s="472" t="str">
        <f>VLOOKUP($C56,clasfin2,9,FALSE)</f>
        <v>1er</v>
      </c>
      <c r="G64" s="20"/>
      <c r="H64" s="20"/>
      <c r="I64" s="20"/>
      <c r="J64" s="20"/>
      <c r="K64" s="20"/>
      <c r="L64" s="20"/>
    </row>
    <row r="65" spans="3:12" ht="5.25" customHeight="1" thickBot="1"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ht="5.25" customHeight="1" thickTop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0"/>
      <c r="L66" s="19"/>
    </row>
    <row r="67" spans="1:11" ht="15">
      <c r="A67" t="s">
        <v>34</v>
      </c>
      <c r="C67" s="85" t="s">
        <v>12</v>
      </c>
      <c r="E67" s="85" t="s">
        <v>1</v>
      </c>
      <c r="G67" s="41" t="s">
        <v>2</v>
      </c>
      <c r="I67" s="41" t="s">
        <v>63</v>
      </c>
      <c r="J67" s="41"/>
      <c r="K67" s="20"/>
    </row>
    <row r="68" spans="1:11" ht="16.5" thickBot="1">
      <c r="A68" s="86" t="e">
        <f>VLOOKUP(C68,init6,6,FALSE)</f>
        <v>#N/A</v>
      </c>
      <c r="C68" s="87">
        <f>VLOOKUP(A67,classf,2,FALSE)</f>
        <v>0</v>
      </c>
      <c r="D68" s="87"/>
      <c r="E68" s="87" t="e">
        <f>VLOOKUP($A68,init1,3,FALSE)</f>
        <v>#N/A</v>
      </c>
      <c r="F68" s="87"/>
      <c r="G68" s="72" t="e">
        <f>VLOOKUP($A68,init1,4,FALSE)</f>
        <v>#N/A</v>
      </c>
      <c r="H68" s="87"/>
      <c r="I68" s="72" t="e">
        <f>VLOOKUP($A68,init1,5,FALSE)</f>
        <v>#N/A</v>
      </c>
      <c r="J68" s="72"/>
      <c r="K68" s="20"/>
    </row>
    <row r="69" spans="3:12" ht="15.75" thickBot="1">
      <c r="C69" s="143" t="s">
        <v>64</v>
      </c>
      <c r="D69" s="144" t="s">
        <v>65</v>
      </c>
      <c r="E69" s="145" t="s">
        <v>5</v>
      </c>
      <c r="F69" s="145" t="s">
        <v>9</v>
      </c>
      <c r="G69" s="145" t="s">
        <v>10</v>
      </c>
      <c r="H69" s="145" t="s">
        <v>11</v>
      </c>
      <c r="I69" s="145" t="s">
        <v>6</v>
      </c>
      <c r="J69" s="467" t="s">
        <v>66</v>
      </c>
      <c r="K69" s="465"/>
      <c r="L69" s="20"/>
    </row>
    <row r="70" spans="1:12" ht="15">
      <c r="A70" s="20" t="e">
        <f>A68&amp;1</f>
        <v>#N/A</v>
      </c>
      <c r="C70" s="146" t="e">
        <f>VLOOKUP($A70,trifin1,3,FALSE)</f>
        <v>#N/A</v>
      </c>
      <c r="D70" s="147" t="e">
        <f>VLOOKUP($A70,trifin1,9,FALSE)</f>
        <v>#N/A</v>
      </c>
      <c r="E70" s="148" t="e">
        <f>VLOOKUP($A70,trifin1,5,FALSE)</f>
        <v>#N/A</v>
      </c>
      <c r="F70" s="148" t="e">
        <f>VLOOKUP($A70,trifin1,6,FALSE)</f>
        <v>#N/A</v>
      </c>
      <c r="G70" s="424" t="e">
        <f>IF(F70="","",E70/F70)</f>
        <v>#N/A</v>
      </c>
      <c r="H70" s="425" t="e">
        <f>IF(E70=DISTANCE,G70,"-")</f>
        <v>#N/A</v>
      </c>
      <c r="I70" s="148" t="e">
        <f>VLOOKUP($A70,trifin1,7,FALSE)</f>
        <v>#N/A</v>
      </c>
      <c r="J70" s="468" t="e">
        <f>VLOOKUP($A70,trifin1,8,FALSE)</f>
        <v>#N/A</v>
      </c>
      <c r="K70" s="465"/>
      <c r="L70" s="20"/>
    </row>
    <row r="71" spans="1:12" ht="15">
      <c r="A71" s="20" t="e">
        <f>A68&amp;2</f>
        <v>#N/A</v>
      </c>
      <c r="C71" s="149" t="e">
        <f>VLOOKUP($A71,trifin1,3,FALSE)</f>
        <v>#N/A</v>
      </c>
      <c r="D71" s="150" t="e">
        <f>VLOOKUP($A71,trifin1,9,FALSE)</f>
        <v>#N/A</v>
      </c>
      <c r="E71" s="151" t="e">
        <f>VLOOKUP($A71,trifin1,5,FALSE)</f>
        <v>#N/A</v>
      </c>
      <c r="F71" s="151" t="e">
        <f>VLOOKUP($A71,trifin1,6,FALSE)</f>
        <v>#N/A</v>
      </c>
      <c r="G71" s="426" t="e">
        <f>IF(F71="","",E71/F71)</f>
        <v>#N/A</v>
      </c>
      <c r="H71" s="426" t="e">
        <f>IF(E71=DISTANCE,G71,"-")</f>
        <v>#N/A</v>
      </c>
      <c r="I71" s="151" t="e">
        <f>VLOOKUP($A71,trifin1,7,FALSE)</f>
        <v>#N/A</v>
      </c>
      <c r="J71" s="469" t="e">
        <f>VLOOKUP($A71,trifin1,8,FALSE)</f>
        <v>#N/A</v>
      </c>
      <c r="K71" s="465"/>
      <c r="L71" s="20"/>
    </row>
    <row r="72" spans="1:12" ht="15">
      <c r="A72" s="20" t="e">
        <f>A68&amp;3</f>
        <v>#N/A</v>
      </c>
      <c r="C72" s="149" t="e">
        <f>VLOOKUP($A72,trifin1,3,FALSE)</f>
        <v>#N/A</v>
      </c>
      <c r="D72" s="150" t="e">
        <f>VLOOKUP($A72,trifin1,9,FALSE)</f>
        <v>#N/A</v>
      </c>
      <c r="E72" s="151" t="e">
        <f>VLOOKUP($A72,trifin1,5,FALSE)</f>
        <v>#N/A</v>
      </c>
      <c r="F72" s="151" t="e">
        <f>VLOOKUP($A72,trifin1,6,FALSE)</f>
        <v>#N/A</v>
      </c>
      <c r="G72" s="426" t="e">
        <f>IF(F72="","",E72/F72)</f>
        <v>#N/A</v>
      </c>
      <c r="H72" s="426" t="e">
        <f>IF(E72=DISTANCE,G72,"-")</f>
        <v>#N/A</v>
      </c>
      <c r="I72" s="151" t="e">
        <f>VLOOKUP($A72,trifin1,7,FALSE)</f>
        <v>#N/A</v>
      </c>
      <c r="J72" s="469" t="e">
        <f>VLOOKUP($A72,trifin1,8,FALSE)</f>
        <v>#N/A</v>
      </c>
      <c r="K72" s="466"/>
      <c r="L72" s="20"/>
    </row>
    <row r="73" spans="1:12" ht="15">
      <c r="A73" s="20" t="e">
        <f>A68&amp;4</f>
        <v>#N/A</v>
      </c>
      <c r="C73" s="149" t="e">
        <f>VLOOKUP($A73,trifin1,3,FALSE)</f>
        <v>#N/A</v>
      </c>
      <c r="D73" s="150" t="e">
        <f>VLOOKUP($A73,trifin1,9,FALSE)</f>
        <v>#N/A</v>
      </c>
      <c r="E73" s="151" t="e">
        <f>VLOOKUP($A73,trifin1,5,FALSE)</f>
        <v>#N/A</v>
      </c>
      <c r="F73" s="151" t="e">
        <f>VLOOKUP($A73,trifin1,6,FALSE)</f>
        <v>#N/A</v>
      </c>
      <c r="G73" s="426" t="e">
        <f>IF(F73="","",E73/F73)</f>
        <v>#N/A</v>
      </c>
      <c r="H73" s="426" t="e">
        <f>IF(E73=DISTANCE,G73,"-")</f>
        <v>#N/A</v>
      </c>
      <c r="I73" s="151" t="e">
        <f>VLOOKUP($A73,trifin1,7,FALSE)</f>
        <v>#N/A</v>
      </c>
      <c r="J73" s="469" t="e">
        <f>VLOOKUP($A73,trifin1,8,FALSE)</f>
        <v>#N/A</v>
      </c>
      <c r="K73" s="466"/>
      <c r="L73" s="20"/>
    </row>
    <row r="74" spans="1:12" ht="15.75" thickBot="1">
      <c r="A74" s="20" t="e">
        <f>A68&amp;5</f>
        <v>#N/A</v>
      </c>
      <c r="C74" s="152" t="e">
        <f>VLOOKUP($A74,trifin1,3,FALSE)</f>
        <v>#N/A</v>
      </c>
      <c r="D74" s="153" t="e">
        <f>VLOOKUP($A74,trifin1,9,FALSE)</f>
        <v>#N/A</v>
      </c>
      <c r="E74" s="154" t="e">
        <f>VLOOKUP($A74,trifin1,5,FALSE)</f>
        <v>#N/A</v>
      </c>
      <c r="F74" s="154" t="e">
        <f>VLOOKUP($A74,trifin1,6,FALSE)</f>
        <v>#N/A</v>
      </c>
      <c r="G74" s="427" t="e">
        <f>IF(F74="","",E74/F74)</f>
        <v>#N/A</v>
      </c>
      <c r="H74" s="427" t="e">
        <f>IF(E74=DISTANCE,G74,"-")</f>
        <v>#N/A</v>
      </c>
      <c r="I74" s="154" t="e">
        <f>VLOOKUP($A74,trifin1,7,FALSE)</f>
        <v>#N/A</v>
      </c>
      <c r="J74" s="470" t="e">
        <f>VLOOKUP($A74,trifin1,8,FALSE)</f>
        <v>#N/A</v>
      </c>
      <c r="K74" s="466"/>
      <c r="L74" s="20"/>
    </row>
    <row r="75" spans="3:12" ht="15.75" thickBot="1">
      <c r="C75" s="155"/>
      <c r="D75" s="156" t="s">
        <v>68</v>
      </c>
      <c r="E75" s="157" t="e">
        <f>SUM(E70:E74)</f>
        <v>#N/A</v>
      </c>
      <c r="F75" s="157" t="e">
        <f>SUM(F70:F74)</f>
        <v>#N/A</v>
      </c>
      <c r="G75" s="428" t="e">
        <f>IF(F75=0,"",E75/F75)</f>
        <v>#N/A</v>
      </c>
      <c r="H75" s="428" t="e">
        <f>MAX(H70:H74)</f>
        <v>#N/A</v>
      </c>
      <c r="I75" s="158" t="e">
        <f>MAX(I70:I74)</f>
        <v>#N/A</v>
      </c>
      <c r="J75" s="471" t="e">
        <f>SUM(J70:J74)</f>
        <v>#N/A</v>
      </c>
      <c r="K75" s="466"/>
      <c r="L75" s="20"/>
    </row>
    <row r="76" spans="3:12" ht="15.75">
      <c r="C76" s="556" t="s">
        <v>69</v>
      </c>
      <c r="D76" s="556"/>
      <c r="E76" s="556"/>
      <c r="F76" s="472" t="str">
        <f>VLOOKUP($C68,clasfin2,9,FALSE)</f>
        <v>1er</v>
      </c>
      <c r="G76" s="20"/>
      <c r="H76" s="20"/>
      <c r="I76" s="20"/>
      <c r="J76" s="20"/>
      <c r="K76" s="20"/>
      <c r="L76" s="20"/>
    </row>
    <row r="77" spans="3:12" ht="15"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3:12" ht="15"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sheet="1" objects="1" scenarios="1"/>
  <mergeCells count="7">
    <mergeCell ref="B1:L1"/>
    <mergeCell ref="C16:E16"/>
    <mergeCell ref="C76:E76"/>
    <mergeCell ref="C28:E28"/>
    <mergeCell ref="C40:E40"/>
    <mergeCell ref="C52:E52"/>
    <mergeCell ref="C64:E64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Y104"/>
  <sheetViews>
    <sheetView showGridLines="0" showOutlineSymbols="0" view="pageBreakPreview" zoomScale="80" zoomScaleNormal="75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9.6640625" defaultRowHeight="15"/>
  <cols>
    <col min="1" max="5" width="4.88671875" style="0" customWidth="1"/>
    <col min="6" max="6" width="1.77734375" style="0" customWidth="1"/>
    <col min="7" max="11" width="4.88671875" style="0" customWidth="1"/>
    <col min="12" max="12" width="1.66796875" style="0" customWidth="1"/>
    <col min="13" max="17" width="4.88671875" style="0" customWidth="1"/>
    <col min="18" max="18" width="1.5625" style="0" customWidth="1"/>
    <col min="19" max="23" width="4.88671875" style="0" customWidth="1"/>
    <col min="24" max="24" width="9.6640625" style="0" customWidth="1"/>
    <col min="25" max="25" width="9.6640625" style="0" hidden="1" customWidth="1"/>
  </cols>
  <sheetData>
    <row r="1" spans="1:25" ht="26.25">
      <c r="A1" s="260"/>
      <c r="B1" s="261"/>
      <c r="C1" s="557" t="s">
        <v>84</v>
      </c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9"/>
      <c r="Y1" t="str">
        <f>design2</f>
        <v>SOUS-DISTRICT</v>
      </c>
    </row>
    <row r="2" spans="1:23" ht="23.25">
      <c r="A2" s="260"/>
      <c r="B2" s="261"/>
      <c r="C2" s="560" t="s">
        <v>85</v>
      </c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</row>
    <row r="3" spans="1:23" ht="15" customHeight="1">
      <c r="A3" s="262"/>
      <c r="B3" s="263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</row>
    <row r="4" spans="1:23" ht="1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27.75">
      <c r="A5" s="562" t="s">
        <v>86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</row>
    <row r="6" spans="1:23" ht="1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</row>
    <row r="7" spans="1:23" ht="23.25">
      <c r="A7" s="563" t="str">
        <f>IF(Y1="SOUS-DISTRICT","X",0)</f>
        <v>X</v>
      </c>
      <c r="B7" s="565" t="s">
        <v>87</v>
      </c>
      <c r="C7" s="565"/>
      <c r="D7" s="565"/>
      <c r="E7" s="566"/>
      <c r="F7" s="264"/>
      <c r="G7" s="563">
        <f>IF(Y1="DISTRICT","X",IF(Y1="DEMI-LIGUE","X",0))</f>
        <v>0</v>
      </c>
      <c r="H7" s="565" t="s">
        <v>88</v>
      </c>
      <c r="I7" s="565"/>
      <c r="J7" s="565"/>
      <c r="K7" s="566"/>
      <c r="L7" s="264"/>
      <c r="M7" s="563">
        <f>IF(Y1="LIGUE",IF(design1="NATIONALE 2",0,"X"),0)</f>
        <v>0</v>
      </c>
      <c r="N7" s="565" t="s">
        <v>89</v>
      </c>
      <c r="O7" s="565"/>
      <c r="P7" s="565"/>
      <c r="Q7" s="566"/>
      <c r="R7" s="264"/>
      <c r="S7" s="563">
        <f>IF(Y1="LIGUE",IF(design1="NATIONALE 2","X",IF(Y1="SECTEUR","X")),0)</f>
        <v>0</v>
      </c>
      <c r="T7" s="565" t="s">
        <v>90</v>
      </c>
      <c r="U7" s="565"/>
      <c r="V7" s="565"/>
      <c r="W7" s="566"/>
    </row>
    <row r="8" spans="1:23" ht="15.75" customHeight="1">
      <c r="A8" s="564"/>
      <c r="B8" s="567"/>
      <c r="C8" s="567"/>
      <c r="D8" s="567"/>
      <c r="E8" s="568"/>
      <c r="F8" s="264"/>
      <c r="G8" s="564"/>
      <c r="H8" s="567"/>
      <c r="I8" s="567"/>
      <c r="J8" s="567"/>
      <c r="K8" s="568"/>
      <c r="L8" s="264"/>
      <c r="M8" s="564"/>
      <c r="N8" s="567"/>
      <c r="O8" s="567"/>
      <c r="P8" s="567"/>
      <c r="Q8" s="568"/>
      <c r="R8" s="264"/>
      <c r="S8" s="564"/>
      <c r="T8" s="567"/>
      <c r="U8" s="567"/>
      <c r="V8" s="567"/>
      <c r="W8" s="568"/>
    </row>
    <row r="9" spans="1:23" ht="15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1:23" ht="15">
      <c r="A10" s="265" t="s">
        <v>91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</row>
    <row r="11" spans="1:23" ht="8.2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</row>
    <row r="12" spans="1:23" ht="15.75">
      <c r="A12" s="260"/>
      <c r="B12" s="571" t="s">
        <v>92</v>
      </c>
      <c r="C12" s="571"/>
      <c r="D12" s="571"/>
      <c r="E12" s="571"/>
      <c r="F12" s="571"/>
      <c r="G12" s="571"/>
      <c r="H12" s="260"/>
      <c r="I12" s="260"/>
      <c r="J12" s="571" t="s">
        <v>93</v>
      </c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</row>
    <row r="13" spans="1:23" ht="15">
      <c r="A13" s="266"/>
      <c r="B13" s="572"/>
      <c r="C13" s="573"/>
      <c r="D13" s="573"/>
      <c r="E13" s="573"/>
      <c r="F13" s="573"/>
      <c r="G13" s="574"/>
      <c r="H13" s="266"/>
      <c r="I13" s="266"/>
      <c r="J13" s="581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3"/>
    </row>
    <row r="14" spans="1:23" ht="15">
      <c r="A14" s="266"/>
      <c r="B14" s="575"/>
      <c r="C14" s="576"/>
      <c r="D14" s="576"/>
      <c r="E14" s="576"/>
      <c r="F14" s="576"/>
      <c r="G14" s="577"/>
      <c r="H14" s="266"/>
      <c r="I14" s="266"/>
      <c r="J14" s="584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6"/>
    </row>
    <row r="15" spans="1:23" ht="15">
      <c r="A15" s="266"/>
      <c r="B15" s="578"/>
      <c r="C15" s="579"/>
      <c r="D15" s="579"/>
      <c r="E15" s="579"/>
      <c r="F15" s="579"/>
      <c r="G15" s="580"/>
      <c r="H15" s="266"/>
      <c r="I15" s="266"/>
      <c r="J15" s="587"/>
      <c r="K15" s="588"/>
      <c r="L15" s="588"/>
      <c r="M15" s="588"/>
      <c r="N15" s="588"/>
      <c r="O15" s="588"/>
      <c r="P15" s="588"/>
      <c r="Q15" s="588"/>
      <c r="R15" s="588"/>
      <c r="S15" s="588"/>
      <c r="T15" s="588"/>
      <c r="U15" s="588"/>
      <c r="V15" s="588"/>
      <c r="W15" s="589"/>
    </row>
    <row r="16" spans="1:23" ht="15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</row>
    <row r="17" spans="1:23" ht="15.75">
      <c r="A17" s="266"/>
      <c r="B17" s="571" t="s">
        <v>94</v>
      </c>
      <c r="C17" s="571"/>
      <c r="D17" s="571"/>
      <c r="E17" s="571"/>
      <c r="F17" s="571"/>
      <c r="G17" s="571"/>
      <c r="H17" s="266"/>
      <c r="I17" s="266"/>
      <c r="J17" s="571" t="s">
        <v>95</v>
      </c>
      <c r="K17" s="571"/>
      <c r="L17" s="571"/>
      <c r="M17" s="571"/>
      <c r="N17" s="571"/>
      <c r="O17" s="571"/>
      <c r="P17" s="266"/>
      <c r="Q17" s="266"/>
      <c r="R17" s="266"/>
      <c r="S17" s="571" t="s">
        <v>96</v>
      </c>
      <c r="T17" s="571"/>
      <c r="U17" s="571"/>
      <c r="V17" s="571"/>
      <c r="W17" s="571"/>
    </row>
    <row r="18" spans="1:23" ht="15">
      <c r="A18" s="266"/>
      <c r="B18" s="581" t="str">
        <f>modjeu</f>
        <v>3 BANDES</v>
      </c>
      <c r="C18" s="582"/>
      <c r="D18" s="582"/>
      <c r="E18" s="582"/>
      <c r="F18" s="582"/>
      <c r="G18" s="583"/>
      <c r="H18" s="266"/>
      <c r="I18" s="266"/>
      <c r="J18" s="581" t="str">
        <f>design1</f>
        <v>REGIONALE 1</v>
      </c>
      <c r="K18" s="582"/>
      <c r="L18" s="582"/>
      <c r="M18" s="582"/>
      <c r="N18" s="582"/>
      <c r="O18" s="583"/>
      <c r="P18" s="266"/>
      <c r="Q18" s="266"/>
      <c r="R18" s="266"/>
      <c r="S18" s="598">
        <f>DISTANCE</f>
        <v>0</v>
      </c>
      <c r="T18" s="599"/>
      <c r="U18" s="599"/>
      <c r="V18" s="599"/>
      <c r="W18" s="569" t="s">
        <v>5</v>
      </c>
    </row>
    <row r="19" spans="1:23" ht="15">
      <c r="A19" s="266"/>
      <c r="B19" s="587"/>
      <c r="C19" s="588"/>
      <c r="D19" s="588"/>
      <c r="E19" s="588"/>
      <c r="F19" s="588"/>
      <c r="G19" s="589"/>
      <c r="H19" s="266"/>
      <c r="I19" s="266"/>
      <c r="J19" s="587"/>
      <c r="K19" s="588"/>
      <c r="L19" s="588"/>
      <c r="M19" s="588"/>
      <c r="N19" s="588"/>
      <c r="O19" s="589"/>
      <c r="P19" s="266"/>
      <c r="Q19" s="266"/>
      <c r="R19" s="266"/>
      <c r="S19" s="600"/>
      <c r="T19" s="601"/>
      <c r="U19" s="601"/>
      <c r="V19" s="601"/>
      <c r="W19" s="570"/>
    </row>
    <row r="20" spans="1:23" ht="15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</row>
    <row r="21" spans="1:23" ht="15.75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8" t="s">
        <v>145</v>
      </c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23" ht="15.75">
      <c r="A22" s="267" t="s">
        <v>97</v>
      </c>
      <c r="B22" s="266"/>
      <c r="C22" s="266"/>
      <c r="D22" s="266"/>
      <c r="E22" s="266"/>
      <c r="F22" s="266"/>
      <c r="G22" s="266"/>
      <c r="H22" s="360">
        <f>IF(Y1="SOUS-DISTRICT",1,0)</f>
        <v>1</v>
      </c>
      <c r="I22" s="268" t="s">
        <v>98</v>
      </c>
      <c r="J22" s="268"/>
      <c r="K22" s="268"/>
      <c r="L22" s="268"/>
      <c r="M22" s="360">
        <f>IF(Y1="DISTRICT",1,IF(Y1="DEMI-LIGUE",1,0))</f>
        <v>0</v>
      </c>
      <c r="N22" s="268" t="s">
        <v>146</v>
      </c>
      <c r="O22" s="268"/>
      <c r="P22" s="266"/>
      <c r="Q22" s="360">
        <f>IF(Y1="LIGUE",1,0)</f>
        <v>0</v>
      </c>
      <c r="R22" s="268" t="s">
        <v>88</v>
      </c>
      <c r="S22" s="266"/>
      <c r="T22" s="268"/>
      <c r="U22" s="360">
        <f>IF(Y1="SECTEUR",1,0)</f>
        <v>0</v>
      </c>
      <c r="V22" s="268" t="s">
        <v>89</v>
      </c>
      <c r="W22" s="268"/>
    </row>
    <row r="23" spans="1:23" ht="15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</row>
    <row r="24" spans="1:23" ht="26.25" customHeight="1">
      <c r="A24" s="269" t="s">
        <v>99</v>
      </c>
      <c r="B24" s="270"/>
      <c r="C24" s="270"/>
      <c r="D24" s="270"/>
      <c r="E24" s="270"/>
      <c r="F24" s="271"/>
      <c r="G24" s="590" t="e">
        <f>'FEUILLE POULE'!C31&amp;"   "&amp;'FEUILLE POULE'!B31</f>
        <v>#N/A</v>
      </c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2"/>
    </row>
    <row r="25" spans="1:23" ht="10.5" customHeight="1">
      <c r="A25" s="365"/>
      <c r="B25" s="274"/>
      <c r="C25" s="274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</row>
    <row r="26" spans="1:23" ht="23.25" customHeight="1">
      <c r="A26" s="432" t="s">
        <v>100</v>
      </c>
      <c r="B26" s="274"/>
      <c r="C26" s="433"/>
      <c r="D26" s="581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3"/>
    </row>
    <row r="27" spans="1:23" ht="18.75" customHeight="1">
      <c r="A27" s="275"/>
      <c r="B27" s="276"/>
      <c r="C27" s="279"/>
      <c r="D27" s="429" t="s">
        <v>161</v>
      </c>
      <c r="E27" s="430"/>
      <c r="F27" s="431"/>
      <c r="G27" s="270"/>
      <c r="H27" s="270"/>
      <c r="I27" s="270"/>
      <c r="J27" s="270"/>
      <c r="K27" s="270"/>
      <c r="L27" s="270"/>
      <c r="M27" s="270"/>
      <c r="N27" s="270"/>
      <c r="O27" s="271"/>
      <c r="P27" s="276"/>
      <c r="Q27" s="269" t="s">
        <v>101</v>
      </c>
      <c r="R27" s="593"/>
      <c r="S27" s="593"/>
      <c r="T27" s="593"/>
      <c r="U27" s="593"/>
      <c r="V27" s="593"/>
      <c r="W27" s="594"/>
    </row>
    <row r="28" spans="1:23" ht="10.5" customHeight="1">
      <c r="A28" s="278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</row>
    <row r="29" spans="1:23" ht="23.25" customHeight="1">
      <c r="A29" s="275" t="s">
        <v>102</v>
      </c>
      <c r="B29" s="276"/>
      <c r="C29" s="276"/>
      <c r="D29" s="276"/>
      <c r="E29" s="276"/>
      <c r="F29" s="279"/>
      <c r="G29" s="595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7"/>
    </row>
    <row r="30" spans="1:23" ht="11.25" customHeight="1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</row>
    <row r="31" spans="1:23" ht="26.25" customHeight="1">
      <c r="A31" s="20"/>
      <c r="B31" s="364" t="s">
        <v>103</v>
      </c>
      <c r="C31" s="590" t="e">
        <f>'FEUILLE POULE'!F31</f>
        <v>#N/A</v>
      </c>
      <c r="D31" s="591"/>
      <c r="E31" s="591"/>
      <c r="F31" s="591"/>
      <c r="G31" s="591"/>
      <c r="H31" s="592"/>
      <c r="I31" s="20"/>
      <c r="J31" s="361"/>
      <c r="K31" s="364" t="s">
        <v>104</v>
      </c>
      <c r="L31" s="596" t="e">
        <f>'FEUILLE POULE'!E31</f>
        <v>#N/A</v>
      </c>
      <c r="M31" s="596"/>
      <c r="N31" s="596"/>
      <c r="O31" s="596"/>
      <c r="P31" s="353"/>
      <c r="Q31" s="362"/>
      <c r="R31" s="286"/>
      <c r="S31" s="286"/>
      <c r="T31" s="364" t="s">
        <v>105</v>
      </c>
      <c r="U31" s="603" t="e">
        <f>'FEUILLE POULE'!K31</f>
        <v>#N/A</v>
      </c>
      <c r="V31" s="603"/>
      <c r="W31" s="604"/>
    </row>
    <row r="32" spans="1:23" ht="15">
      <c r="A32" s="363"/>
      <c r="B32" s="363"/>
      <c r="C32" s="281"/>
      <c r="D32" s="281"/>
      <c r="E32" s="281"/>
      <c r="F32" s="281"/>
      <c r="G32" s="281"/>
      <c r="H32" s="281"/>
      <c r="I32" s="363"/>
      <c r="J32" s="363"/>
      <c r="K32" s="363"/>
      <c r="L32" s="281"/>
      <c r="M32" s="281"/>
      <c r="N32" s="281"/>
      <c r="O32" s="281"/>
      <c r="P32" s="363"/>
      <c r="Q32" s="363"/>
      <c r="R32" s="363"/>
      <c r="S32" s="363"/>
      <c r="T32" s="363"/>
      <c r="U32" s="281"/>
      <c r="V32" s="281"/>
      <c r="W32" s="281"/>
    </row>
    <row r="33" spans="1:23" ht="15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</row>
    <row r="34" spans="1:23" ht="15.75">
      <c r="A34" s="605" t="s">
        <v>106</v>
      </c>
      <c r="B34" s="605"/>
      <c r="C34" s="605"/>
      <c r="D34" s="605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/>
      <c r="S34" s="605"/>
      <c r="T34" s="605"/>
      <c r="U34" s="605"/>
      <c r="V34" s="605"/>
      <c r="W34" s="605"/>
    </row>
    <row r="35" spans="1:23" ht="15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</row>
    <row r="36" spans="1:23" ht="26.25" customHeight="1">
      <c r="A36" s="269" t="s">
        <v>99</v>
      </c>
      <c r="B36" s="270"/>
      <c r="C36" s="270"/>
      <c r="D36" s="270"/>
      <c r="E36" s="270"/>
      <c r="F36" s="271"/>
      <c r="G36" s="590" t="e">
        <f>'FEUILLE POULE'!C32&amp;"   "&amp;'FEUILLE POULE'!B32</f>
        <v>#N/A</v>
      </c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2"/>
    </row>
    <row r="37" spans="1:23" ht="10.5" customHeight="1">
      <c r="A37" s="272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</row>
    <row r="38" spans="1:23" ht="23.25" customHeight="1">
      <c r="A38" s="273" t="s">
        <v>100</v>
      </c>
      <c r="B38" s="274"/>
      <c r="C38" s="274"/>
      <c r="D38" s="581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3"/>
    </row>
    <row r="39" spans="1:23" ht="19.5" customHeight="1">
      <c r="A39" s="275"/>
      <c r="B39" s="276"/>
      <c r="C39" s="276"/>
      <c r="D39" s="429" t="s">
        <v>161</v>
      </c>
      <c r="E39" s="430"/>
      <c r="F39" s="431"/>
      <c r="G39" s="270"/>
      <c r="H39" s="270"/>
      <c r="I39" s="270"/>
      <c r="J39" s="270"/>
      <c r="K39" s="270"/>
      <c r="L39" s="270"/>
      <c r="M39" s="270"/>
      <c r="N39" s="270"/>
      <c r="O39" s="271"/>
      <c r="P39" s="276"/>
      <c r="Q39" s="269" t="s">
        <v>101</v>
      </c>
      <c r="R39" s="593"/>
      <c r="S39" s="593"/>
      <c r="T39" s="593"/>
      <c r="U39" s="593"/>
      <c r="V39" s="593"/>
      <c r="W39" s="594"/>
    </row>
    <row r="40" spans="1:23" ht="10.5" customHeight="1">
      <c r="A40" s="272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</row>
    <row r="41" spans="1:23" ht="24" customHeight="1">
      <c r="A41" s="269" t="s">
        <v>102</v>
      </c>
      <c r="B41" s="270"/>
      <c r="C41" s="270"/>
      <c r="D41" s="270"/>
      <c r="E41" s="270"/>
      <c r="F41" s="271"/>
      <c r="G41" s="602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6"/>
      <c r="T41" s="596"/>
      <c r="U41" s="596"/>
      <c r="V41" s="596"/>
      <c r="W41" s="597"/>
    </row>
    <row r="42" spans="1:23" ht="11.25" customHeight="1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</row>
    <row r="43" spans="1:23" ht="27" customHeight="1">
      <c r="A43" s="20"/>
      <c r="B43" s="364" t="s">
        <v>103</v>
      </c>
      <c r="C43" s="591" t="e">
        <f>'FEUILLE POULE'!F32</f>
        <v>#N/A</v>
      </c>
      <c r="D43" s="591"/>
      <c r="E43" s="591"/>
      <c r="F43" s="591"/>
      <c r="G43" s="591"/>
      <c r="H43" s="591"/>
      <c r="I43" s="353"/>
      <c r="J43" s="361"/>
      <c r="K43" s="364" t="s">
        <v>104</v>
      </c>
      <c r="L43" s="596" t="e">
        <f>'FEUILLE POULE'!E31</f>
        <v>#N/A</v>
      </c>
      <c r="M43" s="596"/>
      <c r="N43" s="596"/>
      <c r="O43" s="596"/>
      <c r="P43" s="353"/>
      <c r="Q43" s="362"/>
      <c r="R43" s="286"/>
      <c r="S43" s="286"/>
      <c r="T43" s="364" t="s">
        <v>105</v>
      </c>
      <c r="U43" s="603" t="e">
        <f>'FEUILLE POULE'!K32</f>
        <v>#N/A</v>
      </c>
      <c r="V43" s="603"/>
      <c r="W43" s="604"/>
    </row>
    <row r="44" spans="1:23" ht="15">
      <c r="A44" s="363"/>
      <c r="B44" s="363"/>
      <c r="C44" s="281"/>
      <c r="D44" s="281"/>
      <c r="E44" s="281"/>
      <c r="F44" s="281"/>
      <c r="G44" s="281"/>
      <c r="H44" s="281"/>
      <c r="I44" s="363"/>
      <c r="J44" s="363"/>
      <c r="K44" s="363"/>
      <c r="L44" s="281"/>
      <c r="M44" s="281"/>
      <c r="N44" s="281"/>
      <c r="O44" s="281"/>
      <c r="P44" s="363"/>
      <c r="Q44" s="363"/>
      <c r="R44" s="363"/>
      <c r="S44" s="363"/>
      <c r="T44" s="363"/>
      <c r="U44" s="281"/>
      <c r="V44" s="281"/>
      <c r="W44" s="281"/>
    </row>
    <row r="45" spans="1:23" ht="15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</row>
    <row r="46" spans="1:23" ht="15.75">
      <c r="A46" s="282" t="s">
        <v>107</v>
      </c>
      <c r="B46" s="280"/>
      <c r="C46" s="280"/>
      <c r="D46" s="280"/>
      <c r="E46" s="280"/>
      <c r="F46" s="612" t="s">
        <v>108</v>
      </c>
      <c r="G46" s="612"/>
      <c r="H46" s="612"/>
      <c r="I46" s="612"/>
      <c r="J46" s="612"/>
      <c r="K46" s="612"/>
      <c r="L46" s="612"/>
      <c r="M46" s="612"/>
      <c r="N46" s="612"/>
      <c r="O46" s="282"/>
      <c r="P46" s="612" t="s">
        <v>109</v>
      </c>
      <c r="Q46" s="612"/>
      <c r="R46" s="612"/>
      <c r="S46" s="612"/>
      <c r="T46" s="612"/>
      <c r="U46" s="612"/>
      <c r="V46" s="612"/>
      <c r="W46" s="612"/>
    </row>
    <row r="47" spans="1:23" ht="15">
      <c r="A47" s="280"/>
      <c r="B47" s="280"/>
      <c r="C47" s="280"/>
      <c r="D47" s="280"/>
      <c r="E47" s="280"/>
      <c r="F47" s="283"/>
      <c r="G47" s="274"/>
      <c r="H47" s="274"/>
      <c r="I47" s="274"/>
      <c r="J47" s="274"/>
      <c r="K47" s="274"/>
      <c r="L47" s="274"/>
      <c r="M47" s="274"/>
      <c r="N47" s="284"/>
      <c r="O47" s="280"/>
      <c r="P47" s="283"/>
      <c r="Q47" s="274"/>
      <c r="R47" s="274"/>
      <c r="S47" s="274"/>
      <c r="T47" s="274"/>
      <c r="U47" s="274"/>
      <c r="V47" s="274"/>
      <c r="W47" s="284"/>
    </row>
    <row r="48" spans="1:23" ht="15">
      <c r="A48" s="280"/>
      <c r="B48" s="280"/>
      <c r="C48" s="280"/>
      <c r="D48" s="280"/>
      <c r="E48" s="280"/>
      <c r="F48" s="285"/>
      <c r="G48" s="286"/>
      <c r="H48" s="286"/>
      <c r="I48" s="286"/>
      <c r="J48" s="286"/>
      <c r="K48" s="286"/>
      <c r="L48" s="286"/>
      <c r="M48" s="286"/>
      <c r="N48" s="287"/>
      <c r="O48" s="280"/>
      <c r="P48" s="285"/>
      <c r="Q48" s="286"/>
      <c r="R48" s="286"/>
      <c r="S48" s="286"/>
      <c r="T48" s="286"/>
      <c r="U48" s="286"/>
      <c r="V48" s="286"/>
      <c r="W48" s="287"/>
    </row>
    <row r="49" spans="1:23" ht="15">
      <c r="A49" s="280"/>
      <c r="B49" s="280"/>
      <c r="C49" s="280"/>
      <c r="D49" s="280"/>
      <c r="E49" s="280"/>
      <c r="F49" s="285"/>
      <c r="G49" s="286"/>
      <c r="H49" s="286"/>
      <c r="I49" s="286"/>
      <c r="J49" s="286"/>
      <c r="K49" s="286"/>
      <c r="L49" s="286"/>
      <c r="M49" s="286"/>
      <c r="N49" s="287"/>
      <c r="O49" s="280"/>
      <c r="P49" s="285"/>
      <c r="Q49" s="286"/>
      <c r="R49" s="286"/>
      <c r="S49" s="286"/>
      <c r="T49" s="286"/>
      <c r="U49" s="286"/>
      <c r="V49" s="286"/>
      <c r="W49" s="287"/>
    </row>
    <row r="50" spans="1:23" ht="15">
      <c r="A50" s="280"/>
      <c r="B50" s="280"/>
      <c r="C50" s="280"/>
      <c r="D50" s="280"/>
      <c r="E50" s="280"/>
      <c r="F50" s="285"/>
      <c r="G50" s="286"/>
      <c r="H50" s="286"/>
      <c r="I50" s="286"/>
      <c r="J50" s="286"/>
      <c r="K50" s="286"/>
      <c r="L50" s="286"/>
      <c r="M50" s="286"/>
      <c r="N50" s="287"/>
      <c r="O50" s="280"/>
      <c r="P50" s="285"/>
      <c r="Q50" s="286"/>
      <c r="R50" s="286"/>
      <c r="S50" s="286"/>
      <c r="T50" s="286"/>
      <c r="U50" s="286"/>
      <c r="V50" s="286"/>
      <c r="W50" s="287"/>
    </row>
    <row r="51" spans="1:23" ht="15">
      <c r="A51" s="280"/>
      <c r="B51" s="280"/>
      <c r="C51" s="280"/>
      <c r="D51" s="280"/>
      <c r="E51" s="280"/>
      <c r="F51" s="277"/>
      <c r="G51" s="276"/>
      <c r="H51" s="276"/>
      <c r="I51" s="276"/>
      <c r="J51" s="276"/>
      <c r="K51" s="276"/>
      <c r="L51" s="276"/>
      <c r="M51" s="276"/>
      <c r="N51" s="279"/>
      <c r="O51" s="280"/>
      <c r="P51" s="277"/>
      <c r="Q51" s="276"/>
      <c r="R51" s="276"/>
      <c r="S51" s="276"/>
      <c r="T51" s="276"/>
      <c r="U51" s="276"/>
      <c r="V51" s="276"/>
      <c r="W51" s="279"/>
    </row>
    <row r="52" spans="1:23" ht="6.75" customHeight="1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</row>
    <row r="53" spans="1:23" ht="8.25" customHeight="1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</row>
    <row r="54" spans="1:23" ht="9" customHeight="1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</row>
    <row r="55" spans="1:23" ht="18">
      <c r="A55" s="280"/>
      <c r="B55" s="280" t="s">
        <v>147</v>
      </c>
      <c r="C55" s="280"/>
      <c r="D55" s="280"/>
      <c r="E55" s="280"/>
      <c r="F55" s="280"/>
      <c r="G55" s="280"/>
      <c r="H55" s="280"/>
      <c r="I55" s="280"/>
      <c r="J55" s="280"/>
      <c r="K55" s="288" t="s">
        <v>110</v>
      </c>
      <c r="L55" s="606"/>
      <c r="M55" s="606"/>
      <c r="N55" s="606"/>
      <c r="O55" s="606"/>
      <c r="P55" s="606"/>
      <c r="Q55" s="606"/>
      <c r="R55" s="606"/>
      <c r="S55" s="288" t="s">
        <v>111</v>
      </c>
      <c r="T55" s="607">
        <f ca="1">TODAY()</f>
        <v>42376</v>
      </c>
      <c r="U55" s="607"/>
      <c r="V55" s="607"/>
      <c r="W55" s="607"/>
    </row>
    <row r="56" spans="1:23" ht="15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</row>
    <row r="57" spans="1:23" ht="15">
      <c r="A57" s="280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608" t="s">
        <v>112</v>
      </c>
      <c r="O57" s="608"/>
      <c r="P57" s="608"/>
      <c r="Q57" s="608"/>
      <c r="R57" s="608"/>
      <c r="S57" s="608"/>
      <c r="T57" s="608"/>
      <c r="U57" s="608"/>
      <c r="V57" s="280"/>
      <c r="W57" s="280"/>
    </row>
    <row r="58" spans="1:23" ht="15.75">
      <c r="A58" s="280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73">
        <f>dirjeu</f>
        <v>0</v>
      </c>
      <c r="O58" s="274"/>
      <c r="P58" s="274"/>
      <c r="Q58" s="274"/>
      <c r="R58" s="274"/>
      <c r="S58" s="274"/>
      <c r="T58" s="274"/>
      <c r="U58" s="284"/>
      <c r="V58" s="280"/>
      <c r="W58" s="280"/>
    </row>
    <row r="59" spans="1:23" ht="15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353"/>
      <c r="O59" s="286"/>
      <c r="P59" s="286"/>
      <c r="Q59" s="286"/>
      <c r="R59" s="286"/>
      <c r="S59" s="286"/>
      <c r="T59" s="286"/>
      <c r="U59" s="287"/>
      <c r="V59" s="280"/>
      <c r="W59" s="280"/>
    </row>
    <row r="60" spans="1:23" ht="15">
      <c r="A60" s="280"/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5"/>
      <c r="O60" s="286"/>
      <c r="P60" s="286"/>
      <c r="Q60" s="286"/>
      <c r="R60" s="286"/>
      <c r="S60" s="286"/>
      <c r="T60" s="286"/>
      <c r="U60" s="287"/>
      <c r="V60" s="280"/>
      <c r="W60" s="280"/>
    </row>
    <row r="61" spans="1:23" ht="15">
      <c r="A61" s="280"/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77"/>
      <c r="O61" s="276"/>
      <c r="P61" s="276"/>
      <c r="Q61" s="276"/>
      <c r="R61" s="276"/>
      <c r="S61" s="276"/>
      <c r="T61" s="276"/>
      <c r="U61" s="279"/>
      <c r="V61" s="280"/>
      <c r="W61" s="280"/>
    </row>
    <row r="62" spans="1:23" ht="15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</row>
    <row r="63" spans="1:23" ht="15">
      <c r="A63" s="280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0"/>
      <c r="P63" s="289"/>
      <c r="Q63" s="290"/>
      <c r="R63" s="261"/>
      <c r="S63" s="260"/>
      <c r="T63" s="260"/>
      <c r="U63" s="290"/>
      <c r="V63" s="261"/>
      <c r="W63" s="261"/>
    </row>
    <row r="65" spans="1:22" ht="21" thickBot="1">
      <c r="A65" s="291"/>
      <c r="B65" s="250"/>
      <c r="C65" s="292"/>
      <c r="D65" s="293" t="s">
        <v>113</v>
      </c>
      <c r="E65" s="293"/>
      <c r="F65" s="294"/>
      <c r="G65" s="294"/>
      <c r="H65" s="294"/>
      <c r="N65" s="294" t="s">
        <v>114</v>
      </c>
      <c r="P65" s="294"/>
      <c r="Q65" s="294"/>
      <c r="R65" s="294"/>
      <c r="V65" s="294" t="s">
        <v>115</v>
      </c>
    </row>
    <row r="66" spans="1:23" ht="35.25">
      <c r="A66" s="291"/>
      <c r="B66" s="250"/>
      <c r="C66" s="292"/>
      <c r="D66" s="609" t="s">
        <v>84</v>
      </c>
      <c r="E66" s="610"/>
      <c r="F66" s="610"/>
      <c r="G66" s="610"/>
      <c r="H66" s="610"/>
      <c r="I66" s="610"/>
      <c r="J66" s="610"/>
      <c r="K66" s="610"/>
      <c r="L66" s="610"/>
      <c r="M66" s="610"/>
      <c r="N66" s="610"/>
      <c r="O66" s="610"/>
      <c r="P66" s="610"/>
      <c r="Q66" s="610"/>
      <c r="R66" s="610"/>
      <c r="S66" s="610"/>
      <c r="T66" s="610"/>
      <c r="U66" s="610"/>
      <c r="V66" s="610"/>
      <c r="W66" s="611"/>
    </row>
    <row r="67" spans="1:23" ht="30">
      <c r="A67" s="291"/>
      <c r="B67" s="250"/>
      <c r="C67" s="295"/>
      <c r="D67" s="613" t="s">
        <v>116</v>
      </c>
      <c r="E67" s="614"/>
      <c r="F67" s="614"/>
      <c r="G67" s="614"/>
      <c r="H67" s="614"/>
      <c r="I67" s="614"/>
      <c r="J67" s="614"/>
      <c r="K67" s="614"/>
      <c r="L67" s="614"/>
      <c r="M67" s="614"/>
      <c r="N67" s="614"/>
      <c r="O67" s="614"/>
      <c r="P67" s="614"/>
      <c r="Q67" s="614"/>
      <c r="R67" s="614"/>
      <c r="S67" s="614"/>
      <c r="T67" s="614"/>
      <c r="U67" s="614"/>
      <c r="V67" s="614"/>
      <c r="W67" s="615"/>
    </row>
    <row r="68" spans="1:23" ht="27" thickBot="1">
      <c r="A68" s="291"/>
      <c r="B68" s="250"/>
      <c r="C68" s="295"/>
      <c r="D68" s="616"/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618"/>
    </row>
    <row r="69" spans="1:13" ht="20.25">
      <c r="A69" s="291"/>
      <c r="B69" s="250"/>
      <c r="C69" s="250"/>
      <c r="D69" s="250"/>
      <c r="E69" s="250"/>
      <c r="F69" s="250"/>
      <c r="G69" s="20"/>
      <c r="H69" s="296"/>
      <c r="I69" s="296"/>
      <c r="J69" s="260"/>
      <c r="K69" s="260"/>
      <c r="L69" s="297"/>
      <c r="M69" s="297"/>
    </row>
    <row r="70" spans="1:16" ht="25.5">
      <c r="A70" s="296"/>
      <c r="B70" s="296"/>
      <c r="C70" s="296"/>
      <c r="D70" s="296"/>
      <c r="E70" s="296"/>
      <c r="F70" s="296"/>
      <c r="G70" s="296"/>
      <c r="H70" s="296"/>
      <c r="I70" s="296"/>
      <c r="J70" s="434"/>
      <c r="K70" s="297"/>
      <c r="L70" s="297"/>
      <c r="M70" s="297"/>
      <c r="P70" s="298" t="s">
        <v>162</v>
      </c>
    </row>
    <row r="71" spans="1:23" ht="18">
      <c r="A71" s="299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300"/>
      <c r="O71" s="300"/>
      <c r="P71" s="300"/>
      <c r="Q71" s="300"/>
      <c r="R71" s="300"/>
      <c r="S71" s="300"/>
      <c r="T71" s="300"/>
      <c r="U71" s="300"/>
      <c r="V71" s="300"/>
      <c r="W71" s="300"/>
    </row>
    <row r="72" spans="2:13" ht="25.5"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</row>
    <row r="73" spans="1:13" ht="26.25">
      <c r="A73" s="302" t="s">
        <v>117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</row>
    <row r="74" spans="1:13" ht="26.25">
      <c r="A74" s="303" t="s">
        <v>118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</row>
    <row r="75" spans="1:13" ht="25.5">
      <c r="A75" s="301"/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</row>
    <row r="76" spans="1:13" ht="26.25">
      <c r="A76" s="301"/>
      <c r="B76" s="302" t="s">
        <v>119</v>
      </c>
      <c r="D76" s="301"/>
      <c r="E76" s="301"/>
      <c r="F76" s="301"/>
      <c r="G76" s="301"/>
      <c r="H76" s="301"/>
      <c r="I76" s="301"/>
      <c r="J76" s="301"/>
      <c r="K76" s="301"/>
      <c r="L76" s="301"/>
      <c r="M76" s="301"/>
    </row>
    <row r="77" spans="1:13" ht="25.5">
      <c r="A77" s="301"/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</row>
    <row r="78" spans="1:21" ht="37.5">
      <c r="A78" s="619" t="s">
        <v>120</v>
      </c>
      <c r="B78" s="620"/>
      <c r="C78" s="620"/>
      <c r="D78" s="620"/>
      <c r="E78" s="620"/>
      <c r="F78" s="620"/>
      <c r="G78" s="620"/>
      <c r="H78" s="620"/>
      <c r="I78" s="620"/>
      <c r="J78" s="620"/>
      <c r="K78" s="620"/>
      <c r="L78" s="620"/>
      <c r="M78" s="620"/>
      <c r="N78" s="620"/>
      <c r="O78" s="620"/>
      <c r="P78" s="620"/>
      <c r="Q78" s="620"/>
      <c r="R78" s="620"/>
      <c r="S78" s="620"/>
      <c r="T78" s="620"/>
      <c r="U78" s="620"/>
    </row>
    <row r="79" spans="1:23" ht="33.75">
      <c r="A79" s="304" t="s">
        <v>121</v>
      </c>
      <c r="B79" s="304"/>
      <c r="C79" s="305"/>
      <c r="D79" s="305"/>
      <c r="E79" s="305"/>
      <c r="F79" s="306"/>
      <c r="G79" s="647" t="str">
        <f>modjeu</f>
        <v>3 BANDES</v>
      </c>
      <c r="H79" s="648"/>
      <c r="I79" s="648"/>
      <c r="J79" s="648"/>
      <c r="K79" s="648"/>
      <c r="L79" s="649"/>
      <c r="M79" s="309" t="s">
        <v>95</v>
      </c>
      <c r="N79" s="305"/>
      <c r="O79" s="305"/>
      <c r="P79" s="308"/>
      <c r="Q79" s="307"/>
      <c r="R79" s="359" t="str">
        <f>design1</f>
        <v>REGIONALE 1</v>
      </c>
      <c r="S79" s="310"/>
      <c r="T79" s="310"/>
      <c r="U79" s="310"/>
      <c r="V79" s="305"/>
      <c r="W79" s="308"/>
    </row>
    <row r="80" spans="1:23" ht="33.75">
      <c r="A80" s="304" t="s">
        <v>122</v>
      </c>
      <c r="B80" s="304"/>
      <c r="C80" s="311"/>
      <c r="D80" s="310"/>
      <c r="E80" s="310"/>
      <c r="F80" s="306"/>
      <c r="G80" s="650"/>
      <c r="H80" s="648"/>
      <c r="I80" s="648"/>
      <c r="J80" s="648"/>
      <c r="K80" s="648"/>
      <c r="L80" s="649"/>
      <c r="M80" s="309" t="s">
        <v>92</v>
      </c>
      <c r="N80" s="305"/>
      <c r="O80" s="305"/>
      <c r="P80" s="308"/>
      <c r="Q80" s="307"/>
      <c r="R80" s="305"/>
      <c r="S80" s="305"/>
      <c r="T80" s="312">
        <f>dat</f>
        <v>0</v>
      </c>
      <c r="U80" s="310"/>
      <c r="V80" s="305"/>
      <c r="W80" s="308"/>
    </row>
    <row r="81" spans="1:13" ht="25.5">
      <c r="A81" s="301"/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</row>
    <row r="82" spans="1:13" ht="26.25" thickBot="1">
      <c r="A82" s="301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</row>
    <row r="83" spans="1:23" ht="15">
      <c r="A83" s="621" t="s">
        <v>123</v>
      </c>
      <c r="B83" s="623" t="s">
        <v>124</v>
      </c>
      <c r="C83" s="624"/>
      <c r="D83" s="624"/>
      <c r="E83" s="624"/>
      <c r="F83" s="624"/>
      <c r="G83" s="624"/>
      <c r="H83" s="313"/>
      <c r="I83" s="314"/>
      <c r="J83" s="315"/>
      <c r="K83" s="627" t="s">
        <v>125</v>
      </c>
      <c r="L83" s="628"/>
      <c r="M83" s="627"/>
      <c r="N83" s="628"/>
      <c r="O83" s="627"/>
      <c r="P83" s="628"/>
      <c r="Q83" s="627"/>
      <c r="R83" s="629"/>
      <c r="S83" s="628"/>
      <c r="T83" s="627"/>
      <c r="U83" s="628"/>
      <c r="V83" s="627"/>
      <c r="W83" s="630"/>
    </row>
    <row r="84" spans="1:23" ht="18">
      <c r="A84" s="622"/>
      <c r="B84" s="625"/>
      <c r="C84" s="626"/>
      <c r="D84" s="626"/>
      <c r="E84" s="626"/>
      <c r="F84" s="626"/>
      <c r="G84" s="626"/>
      <c r="H84" s="634" t="s">
        <v>126</v>
      </c>
      <c r="I84" s="635"/>
      <c r="J84" s="636"/>
      <c r="K84" s="631" t="s">
        <v>127</v>
      </c>
      <c r="L84" s="632"/>
      <c r="M84" s="631" t="s">
        <v>125</v>
      </c>
      <c r="N84" s="632"/>
      <c r="O84" s="317" t="s">
        <v>128</v>
      </c>
      <c r="P84" s="318"/>
      <c r="Q84" s="631" t="s">
        <v>129</v>
      </c>
      <c r="R84" s="637"/>
      <c r="S84" s="632"/>
      <c r="T84" s="631" t="s">
        <v>130</v>
      </c>
      <c r="U84" s="632"/>
      <c r="V84" s="631" t="s">
        <v>131</v>
      </c>
      <c r="W84" s="633"/>
    </row>
    <row r="85" spans="1:23" ht="18.75" thickBot="1">
      <c r="A85" s="622"/>
      <c r="B85" s="625"/>
      <c r="C85" s="626"/>
      <c r="D85" s="626"/>
      <c r="E85" s="626"/>
      <c r="F85" s="626"/>
      <c r="G85" s="626"/>
      <c r="H85" s="316"/>
      <c r="I85" s="20"/>
      <c r="J85" s="319"/>
      <c r="K85" s="631" t="s">
        <v>132</v>
      </c>
      <c r="L85" s="632"/>
      <c r="M85" s="631"/>
      <c r="N85" s="632"/>
      <c r="O85" s="631"/>
      <c r="P85" s="632"/>
      <c r="Q85" s="631"/>
      <c r="R85" s="637"/>
      <c r="S85" s="632"/>
      <c r="T85" s="631"/>
      <c r="U85" s="632"/>
      <c r="V85" s="631"/>
      <c r="W85" s="633"/>
    </row>
    <row r="86" spans="1:23" ht="27" thickBot="1">
      <c r="A86" s="320">
        <v>1</v>
      </c>
      <c r="B86" s="321" t="e">
        <f>'FEUILLE POULE'!B31&amp;"  "&amp;'FEUILLE POULE'!C31</f>
        <v>#N/A</v>
      </c>
      <c r="C86" s="322"/>
      <c r="D86" s="322"/>
      <c r="E86" s="323"/>
      <c r="F86" s="324"/>
      <c r="G86" s="325"/>
      <c r="H86" s="651" t="e">
        <f>'FEUILLE POULE'!E31</f>
        <v>#N/A</v>
      </c>
      <c r="I86" s="652"/>
      <c r="J86" s="653"/>
      <c r="K86" s="642" t="e">
        <f>'FEUILLE POULE'!O31</f>
        <v>#N/A</v>
      </c>
      <c r="L86" s="643"/>
      <c r="M86" s="642" t="e">
        <f>'FEUILLE POULE'!H31</f>
        <v>#N/A</v>
      </c>
      <c r="N86" s="643"/>
      <c r="O86" s="642" t="e">
        <f>'FEUILLE POULE'!I31</f>
        <v>#N/A</v>
      </c>
      <c r="P86" s="643"/>
      <c r="Q86" s="644" t="e">
        <f>'FEUILLE POULE'!K31</f>
        <v>#N/A</v>
      </c>
      <c r="R86" s="645"/>
      <c r="S86" s="646"/>
      <c r="T86" s="638" t="e">
        <f>'FEUILLE POULE'!L31</f>
        <v>#N/A</v>
      </c>
      <c r="U86" s="639"/>
      <c r="V86" s="640" t="e">
        <f>'FEUILLE POULE'!N31</f>
        <v>#N/A</v>
      </c>
      <c r="W86" s="641"/>
    </row>
    <row r="87" spans="1:23" ht="27" thickBot="1">
      <c r="A87" s="320">
        <v>2</v>
      </c>
      <c r="B87" s="321" t="e">
        <f>'FEUILLE POULE'!B32&amp;"  "&amp;'FEUILLE POULE'!C32</f>
        <v>#N/A</v>
      </c>
      <c r="C87" s="322"/>
      <c r="D87" s="322"/>
      <c r="E87" s="323"/>
      <c r="F87" s="324"/>
      <c r="G87" s="325"/>
      <c r="H87" s="651" t="e">
        <f>'FEUILLE POULE'!E32</f>
        <v>#N/A</v>
      </c>
      <c r="I87" s="652"/>
      <c r="J87" s="653"/>
      <c r="K87" s="642" t="e">
        <f>'FEUILLE POULE'!O32</f>
        <v>#N/A</v>
      </c>
      <c r="L87" s="643"/>
      <c r="M87" s="642" t="e">
        <f>'FEUILLE POULE'!H32</f>
        <v>#N/A</v>
      </c>
      <c r="N87" s="643"/>
      <c r="O87" s="642" t="e">
        <f>'FEUILLE POULE'!I32</f>
        <v>#N/A</v>
      </c>
      <c r="P87" s="643"/>
      <c r="Q87" s="644" t="e">
        <f>'FEUILLE POULE'!K32</f>
        <v>#N/A</v>
      </c>
      <c r="R87" s="645"/>
      <c r="S87" s="646"/>
      <c r="T87" s="638" t="e">
        <f>'FEUILLE POULE'!L32</f>
        <v>#N/A</v>
      </c>
      <c r="U87" s="639"/>
      <c r="V87" s="640" t="e">
        <f>'FEUILLE POULE'!N32</f>
        <v>#N/A</v>
      </c>
      <c r="W87" s="641"/>
    </row>
    <row r="88" spans="1:23" ht="27" thickBot="1">
      <c r="A88" s="320">
        <v>3</v>
      </c>
      <c r="B88" s="321" t="e">
        <f>'FEUILLE POULE'!B33&amp;"  "&amp;'FEUILLE POULE'!C33</f>
        <v>#N/A</v>
      </c>
      <c r="C88" s="322"/>
      <c r="D88" s="322"/>
      <c r="E88" s="323"/>
      <c r="F88" s="324"/>
      <c r="G88" s="325"/>
      <c r="H88" s="651" t="e">
        <f>'FEUILLE POULE'!E33</f>
        <v>#N/A</v>
      </c>
      <c r="I88" s="652"/>
      <c r="J88" s="653"/>
      <c r="K88" s="642" t="e">
        <f>'FEUILLE POULE'!O33</f>
        <v>#N/A</v>
      </c>
      <c r="L88" s="643"/>
      <c r="M88" s="642" t="e">
        <f>'FEUILLE POULE'!H33</f>
        <v>#N/A</v>
      </c>
      <c r="N88" s="643"/>
      <c r="O88" s="642" t="e">
        <f>'FEUILLE POULE'!I33</f>
        <v>#N/A</v>
      </c>
      <c r="P88" s="643"/>
      <c r="Q88" s="644" t="e">
        <f>'FEUILLE POULE'!K33</f>
        <v>#N/A</v>
      </c>
      <c r="R88" s="645"/>
      <c r="S88" s="646"/>
      <c r="T88" s="638" t="e">
        <f>'FEUILLE POULE'!L33</f>
        <v>#N/A</v>
      </c>
      <c r="U88" s="639"/>
      <c r="V88" s="640" t="e">
        <f>'FEUILLE POULE'!N33</f>
        <v>#N/A</v>
      </c>
      <c r="W88" s="641"/>
    </row>
    <row r="89" spans="1:23" ht="27" thickBot="1">
      <c r="A89" s="320">
        <v>4</v>
      </c>
      <c r="B89" s="321" t="e">
        <f>'FEUILLE POULE'!B34&amp;"  "&amp;'FEUILLE POULE'!C34</f>
        <v>#N/A</v>
      </c>
      <c r="C89" s="322"/>
      <c r="D89" s="322"/>
      <c r="E89" s="323"/>
      <c r="F89" s="324"/>
      <c r="G89" s="325"/>
      <c r="H89" s="651" t="e">
        <f>'FEUILLE POULE'!E34</f>
        <v>#N/A</v>
      </c>
      <c r="I89" s="652"/>
      <c r="J89" s="653"/>
      <c r="K89" s="642" t="e">
        <f>'FEUILLE POULE'!O34</f>
        <v>#N/A</v>
      </c>
      <c r="L89" s="643"/>
      <c r="M89" s="642" t="e">
        <f>'FEUILLE POULE'!H34</f>
        <v>#N/A</v>
      </c>
      <c r="N89" s="643"/>
      <c r="O89" s="642" t="e">
        <f>'FEUILLE POULE'!I34</f>
        <v>#N/A</v>
      </c>
      <c r="P89" s="643"/>
      <c r="Q89" s="644" t="e">
        <f>'FEUILLE POULE'!K34</f>
        <v>#N/A</v>
      </c>
      <c r="R89" s="645"/>
      <c r="S89" s="646"/>
      <c r="T89" s="638" t="e">
        <f>'FEUILLE POULE'!L34</f>
        <v>#N/A</v>
      </c>
      <c r="U89" s="639"/>
      <c r="V89" s="640" t="e">
        <f>'FEUILLE POULE'!N34</f>
        <v>#N/A</v>
      </c>
      <c r="W89" s="641"/>
    </row>
    <row r="90" spans="1:23" ht="27" thickBot="1">
      <c r="A90" s="320">
        <v>5</v>
      </c>
      <c r="B90" s="321" t="e">
        <f>'FEUILLE POULE'!B35&amp;"  "&amp;'FEUILLE POULE'!C35</f>
        <v>#N/A</v>
      </c>
      <c r="C90" s="322"/>
      <c r="D90" s="322"/>
      <c r="E90" s="323"/>
      <c r="F90" s="324"/>
      <c r="G90" s="325"/>
      <c r="H90" s="651" t="e">
        <f>'FEUILLE POULE'!E35</f>
        <v>#N/A</v>
      </c>
      <c r="I90" s="652"/>
      <c r="J90" s="653"/>
      <c r="K90" s="642" t="e">
        <f>'FEUILLE POULE'!O35</f>
        <v>#N/A</v>
      </c>
      <c r="L90" s="643"/>
      <c r="M90" s="642" t="e">
        <f>'FEUILLE POULE'!H35</f>
        <v>#N/A</v>
      </c>
      <c r="N90" s="643"/>
      <c r="O90" s="642" t="e">
        <f>'FEUILLE POULE'!I35</f>
        <v>#N/A</v>
      </c>
      <c r="P90" s="643"/>
      <c r="Q90" s="644" t="e">
        <f>'FEUILLE POULE'!K35</f>
        <v>#N/A</v>
      </c>
      <c r="R90" s="645"/>
      <c r="S90" s="646"/>
      <c r="T90" s="638" t="e">
        <f>'FEUILLE POULE'!L35</f>
        <v>#N/A</v>
      </c>
      <c r="U90" s="639"/>
      <c r="V90" s="640" t="e">
        <f>'FEUILLE POULE'!N35</f>
        <v>#N/A</v>
      </c>
      <c r="W90" s="641"/>
    </row>
    <row r="91" spans="1:23" ht="27" thickBot="1">
      <c r="A91" s="320">
        <v>6</v>
      </c>
      <c r="B91" s="321" t="e">
        <f>'FEUILLE POULE'!B36&amp;"  "&amp;'FEUILLE POULE'!C36</f>
        <v>#N/A</v>
      </c>
      <c r="C91" s="322"/>
      <c r="D91" s="322"/>
      <c r="E91" s="323"/>
      <c r="F91" s="324"/>
      <c r="G91" s="325"/>
      <c r="H91" s="651" t="e">
        <f>'FEUILLE POULE'!E36</f>
        <v>#N/A</v>
      </c>
      <c r="I91" s="652"/>
      <c r="J91" s="653"/>
      <c r="K91" s="642" t="e">
        <f>'FEUILLE POULE'!O36</f>
        <v>#N/A</v>
      </c>
      <c r="L91" s="643"/>
      <c r="M91" s="642" t="e">
        <f>'FEUILLE POULE'!H36</f>
        <v>#N/A</v>
      </c>
      <c r="N91" s="643"/>
      <c r="O91" s="642" t="e">
        <f>'FEUILLE POULE'!I36</f>
        <v>#N/A</v>
      </c>
      <c r="P91" s="643"/>
      <c r="Q91" s="644" t="e">
        <f>'FEUILLE POULE'!K36</f>
        <v>#N/A</v>
      </c>
      <c r="R91" s="645"/>
      <c r="S91" s="646"/>
      <c r="T91" s="638" t="e">
        <f>'FEUILLE POULE'!L36</f>
        <v>#N/A</v>
      </c>
      <c r="U91" s="639"/>
      <c r="V91" s="640" t="e">
        <f>'FEUILLE POULE'!N36</f>
        <v>#N/A</v>
      </c>
      <c r="W91" s="641"/>
    </row>
    <row r="93" spans="1:13" ht="25.5">
      <c r="A93" s="326" t="s">
        <v>133</v>
      </c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8"/>
    </row>
    <row r="94" spans="1:13" ht="26.25">
      <c r="A94" s="329"/>
      <c r="B94" s="33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31"/>
    </row>
    <row r="95" spans="1:13" ht="26.25">
      <c r="A95" s="329"/>
      <c r="B95" s="332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331"/>
    </row>
    <row r="96" spans="1:13" ht="25.5">
      <c r="A96" s="333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34"/>
    </row>
    <row r="97" spans="1:13" ht="25.5">
      <c r="A97" s="301"/>
      <c r="M97" s="301"/>
    </row>
    <row r="99" spans="1:16" ht="25.5">
      <c r="A99" s="301" t="s">
        <v>134</v>
      </c>
      <c r="C99" s="301"/>
      <c r="D99" s="301"/>
      <c r="E99" s="301"/>
      <c r="F99" s="301"/>
      <c r="G99" s="301"/>
      <c r="H99" s="301"/>
      <c r="I99" s="301"/>
      <c r="K99" s="301"/>
      <c r="L99" s="301"/>
      <c r="P99" s="335" t="s">
        <v>135</v>
      </c>
    </row>
    <row r="100" spans="2:12" ht="26.25">
      <c r="B100" s="301"/>
      <c r="C100" s="302">
        <f>dirjeu</f>
        <v>0</v>
      </c>
      <c r="D100" s="301"/>
      <c r="E100" s="301"/>
      <c r="F100" s="301"/>
      <c r="G100" s="301"/>
      <c r="H100" s="301"/>
      <c r="I100" s="301"/>
      <c r="J100" s="301"/>
      <c r="K100" s="301"/>
      <c r="L100" s="301"/>
    </row>
    <row r="101" spans="2:12" ht="25.5"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</row>
    <row r="104" spans="2:12" ht="26.25">
      <c r="B104" s="301" t="s">
        <v>136</v>
      </c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</row>
  </sheetData>
  <sheetProtection/>
  <mergeCells count="111">
    <mergeCell ref="V91:W91"/>
    <mergeCell ref="H87:J87"/>
    <mergeCell ref="H88:J88"/>
    <mergeCell ref="H89:J89"/>
    <mergeCell ref="H90:J90"/>
    <mergeCell ref="H91:J91"/>
    <mergeCell ref="K87:L87"/>
    <mergeCell ref="K91:L91"/>
    <mergeCell ref="M91:N91"/>
    <mergeCell ref="O91:P91"/>
    <mergeCell ref="G79:L79"/>
    <mergeCell ref="G80:L80"/>
    <mergeCell ref="O89:P89"/>
    <mergeCell ref="Q91:S91"/>
    <mergeCell ref="K90:L90"/>
    <mergeCell ref="K89:L89"/>
    <mergeCell ref="Q89:S89"/>
    <mergeCell ref="Q87:S87"/>
    <mergeCell ref="Q86:S86"/>
    <mergeCell ref="H86:J86"/>
    <mergeCell ref="T89:U89"/>
    <mergeCell ref="M87:N87"/>
    <mergeCell ref="T91:U91"/>
    <mergeCell ref="V89:W89"/>
    <mergeCell ref="M90:N90"/>
    <mergeCell ref="O90:P90"/>
    <mergeCell ref="Q90:S90"/>
    <mergeCell ref="T90:U90"/>
    <mergeCell ref="V90:W90"/>
    <mergeCell ref="M89:N89"/>
    <mergeCell ref="T87:U87"/>
    <mergeCell ref="V87:W87"/>
    <mergeCell ref="K88:L88"/>
    <mergeCell ref="M88:N88"/>
    <mergeCell ref="O88:P88"/>
    <mergeCell ref="Q88:S88"/>
    <mergeCell ref="T88:U88"/>
    <mergeCell ref="V88:W88"/>
    <mergeCell ref="O87:P87"/>
    <mergeCell ref="T86:U86"/>
    <mergeCell ref="V86:W86"/>
    <mergeCell ref="K85:L85"/>
    <mergeCell ref="M85:N85"/>
    <mergeCell ref="O85:P85"/>
    <mergeCell ref="Q85:S85"/>
    <mergeCell ref="K86:L86"/>
    <mergeCell ref="M86:N86"/>
    <mergeCell ref="O86:P86"/>
    <mergeCell ref="V83:W83"/>
    <mergeCell ref="T84:U84"/>
    <mergeCell ref="V84:W84"/>
    <mergeCell ref="T85:U85"/>
    <mergeCell ref="V85:W85"/>
    <mergeCell ref="H84:J84"/>
    <mergeCell ref="K84:L84"/>
    <mergeCell ref="M84:N84"/>
    <mergeCell ref="Q84:S84"/>
    <mergeCell ref="D67:W67"/>
    <mergeCell ref="D68:W68"/>
    <mergeCell ref="A78:U78"/>
    <mergeCell ref="A83:A85"/>
    <mergeCell ref="B83:G85"/>
    <mergeCell ref="K83:L83"/>
    <mergeCell ref="M83:N83"/>
    <mergeCell ref="O83:P83"/>
    <mergeCell ref="Q83:S83"/>
    <mergeCell ref="T83:U83"/>
    <mergeCell ref="L55:R55"/>
    <mergeCell ref="T55:W55"/>
    <mergeCell ref="N57:U57"/>
    <mergeCell ref="D66:W66"/>
    <mergeCell ref="C43:H43"/>
    <mergeCell ref="L43:O43"/>
    <mergeCell ref="U43:W43"/>
    <mergeCell ref="F46:N46"/>
    <mergeCell ref="P46:W46"/>
    <mergeCell ref="G36:W36"/>
    <mergeCell ref="D38:W38"/>
    <mergeCell ref="R39:W39"/>
    <mergeCell ref="G41:W41"/>
    <mergeCell ref="C31:H31"/>
    <mergeCell ref="L31:O31"/>
    <mergeCell ref="U31:W31"/>
    <mergeCell ref="A34:W34"/>
    <mergeCell ref="G24:W24"/>
    <mergeCell ref="D26:W26"/>
    <mergeCell ref="R27:W27"/>
    <mergeCell ref="G29:W29"/>
    <mergeCell ref="B17:G17"/>
    <mergeCell ref="J17:O17"/>
    <mergeCell ref="S17:W17"/>
    <mergeCell ref="B18:G19"/>
    <mergeCell ref="J18:O19"/>
    <mergeCell ref="S18:V19"/>
    <mergeCell ref="W18:W19"/>
    <mergeCell ref="T7:W8"/>
    <mergeCell ref="B12:G12"/>
    <mergeCell ref="J12:W12"/>
    <mergeCell ref="B13:G15"/>
    <mergeCell ref="J13:W15"/>
    <mergeCell ref="N7:Q8"/>
    <mergeCell ref="C1:W1"/>
    <mergeCell ref="C2:W2"/>
    <mergeCell ref="C3:W3"/>
    <mergeCell ref="A5:W5"/>
    <mergeCell ref="A7:A8"/>
    <mergeCell ref="G7:G8"/>
    <mergeCell ref="M7:M8"/>
    <mergeCell ref="S7:S8"/>
    <mergeCell ref="B7:E8"/>
    <mergeCell ref="H7:K8"/>
  </mergeCells>
  <conditionalFormatting sqref="H22 M22 Q22 U22">
    <cfRule type="cellIs" priority="1" dxfId="1" operator="equal" stopIfTrue="1">
      <formula>1</formula>
    </cfRule>
    <cfRule type="cellIs" priority="2" dxfId="8" operator="equal" stopIfTrue="1">
      <formula>0</formula>
    </cfRule>
  </conditionalFormatting>
  <conditionalFormatting sqref="G7:G8 A7:A8 M7:M8 S7:S8">
    <cfRule type="cellIs" priority="3" dxfId="9" operator="equal" stopIfTrue="1">
      <formula>"X"</formula>
    </cfRule>
    <cfRule type="cellIs" priority="4" dxfId="8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3" r:id="rId2"/>
  <rowBreaks count="1" manualBreakCount="1">
    <brk id="62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BCMazades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</dc:creator>
  <cp:keywords>toto</cp:keywords>
  <dc:description/>
  <cp:lastModifiedBy>portable</cp:lastModifiedBy>
  <cp:lastPrinted>2010-10-13T21:44:07Z</cp:lastPrinted>
  <dcterms:created xsi:type="dcterms:W3CDTF">2000-06-11T09:10:57Z</dcterms:created>
  <dcterms:modified xsi:type="dcterms:W3CDTF">2016-01-07T18:31:26Z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